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firstSheet="2" activeTab="2"/>
  </bookViews>
  <sheets>
    <sheet name="01092017 (3)" sheetId="1" state="hidden" r:id="rId1"/>
    <sheet name="01092017 (2)" sheetId="2" state="hidden" r:id="rId2"/>
    <sheet name="01122021" sheetId="3" r:id="rId3"/>
  </sheets>
  <definedNames>
    <definedName name="_xlnm.Print_Titles" localSheetId="1">'01092017 (2)'!$12:$12</definedName>
    <definedName name="_xlnm.Print_Titles" localSheetId="0">'01092017 (3)'!$12:$12</definedName>
    <definedName name="_xlnm.Print_Titles" localSheetId="2">'01122021'!$12:$12</definedName>
    <definedName name="_xlnm.Print_Area" localSheetId="1">'01092017 (2)'!$A$1:$U$161</definedName>
    <definedName name="_xlnm.Print_Area" localSheetId="0">'01092017 (3)'!$A$1:$U$160</definedName>
    <definedName name="_xlnm.Print_Area" localSheetId="2">'01122021'!$A$1:$U$163</definedName>
  </definedNames>
  <calcPr fullCalcOnLoad="1"/>
</workbook>
</file>

<file path=xl/sharedStrings.xml><?xml version="1.0" encoding="utf-8"?>
<sst xmlns="http://schemas.openxmlformats.org/spreadsheetml/2006/main" count="712" uniqueCount="190">
  <si>
    <t>ЗАТВЕРДЖУЮ</t>
  </si>
  <si>
    <t>повне найменування ВНЗ, відокремленого сруктурного підрозділу внз</t>
  </si>
  <si>
    <t>М.П.</t>
  </si>
  <si>
    <t>Кть-міс</t>
  </si>
  <si>
    <t>№ п/п</t>
  </si>
  <si>
    <t>Тарифний розряд</t>
  </si>
  <si>
    <t>Кількість штатних посад</t>
  </si>
  <si>
    <t>%</t>
  </si>
  <si>
    <t>грн.</t>
  </si>
  <si>
    <t>1.Загальний фонд</t>
  </si>
  <si>
    <t>Директор</t>
  </si>
  <si>
    <t>Керівник фізвиховання</t>
  </si>
  <si>
    <t>Вихователь</t>
  </si>
  <si>
    <t>Методист</t>
  </si>
  <si>
    <t>Всього по 1.1</t>
  </si>
  <si>
    <t>Х</t>
  </si>
  <si>
    <t>Майстер виробничого навчання</t>
  </si>
  <si>
    <t>Всього по 1.2</t>
  </si>
  <si>
    <t>Головний бухгалтер</t>
  </si>
  <si>
    <t>Провідний бухгалтер</t>
  </si>
  <si>
    <t>Лаборант</t>
  </si>
  <si>
    <t>Прибиральник службових приміщень</t>
  </si>
  <si>
    <t>Двірник</t>
  </si>
  <si>
    <t>Сторож</t>
  </si>
  <si>
    <t>Разом по 1.1.-1.4.</t>
  </si>
  <si>
    <t xml:space="preserve">Загальний фонд, всього      </t>
  </si>
  <si>
    <t>2.Спеціальний фонд</t>
  </si>
  <si>
    <t>Всього по 2.1.1</t>
  </si>
  <si>
    <t>Всього по 2.1.2</t>
  </si>
  <si>
    <t>Електромонтер з ремонту та обслуг.електроустат.</t>
  </si>
  <si>
    <t>2.2.3 Надбавка за вислугу років викладачів</t>
  </si>
  <si>
    <t>2.3.1 Фахівці</t>
  </si>
  <si>
    <t>Всього по 2.3.1</t>
  </si>
  <si>
    <t>2.3.2 Робітники</t>
  </si>
  <si>
    <t>Черговий по гуртожитку</t>
  </si>
  <si>
    <t>Всього по 2.3.2</t>
  </si>
  <si>
    <t>Всього по гуртожитку</t>
  </si>
  <si>
    <t>Разом по спеціальному фонду</t>
  </si>
  <si>
    <t>Всього по навчальному закладу</t>
  </si>
  <si>
    <t xml:space="preserve">Керівник навчального закладу                                                                      </t>
  </si>
  <si>
    <t>О.Є.Яковенко</t>
  </si>
  <si>
    <t>С.А.Аверіна</t>
  </si>
  <si>
    <t>ПОГОДЖЕНО</t>
  </si>
  <si>
    <t xml:space="preserve">Керівник виборного профспілкового органу первинної                                                                     </t>
  </si>
  <si>
    <t>профспілової організації</t>
  </si>
  <si>
    <t xml:space="preserve">підпис                         ініціали і прізвище </t>
  </si>
  <si>
    <t>2.2.2 Викладачі</t>
  </si>
  <si>
    <t>Соціальний педагог</t>
  </si>
  <si>
    <t>2.2.4 Надбавка викладачам згідно з  постановою КМУ від 23.03.2011 № 343</t>
  </si>
  <si>
    <t>Практичний психолог</t>
  </si>
  <si>
    <t>2.2.1 Завідувач відділенням довузівської  підготовки</t>
  </si>
  <si>
    <t>Завідувач навчальної лабораторії</t>
  </si>
  <si>
    <t>Методист відділення</t>
  </si>
  <si>
    <t>Юристконсульт</t>
  </si>
  <si>
    <t>Секретар навчальної частини</t>
  </si>
  <si>
    <t>Всього по 1.3</t>
  </si>
  <si>
    <t>Всього по 1.4</t>
  </si>
  <si>
    <t>Бібліотекар провідний</t>
  </si>
  <si>
    <t>Помічник директора з кадрової роботи</t>
  </si>
  <si>
    <t>Бухгалтер провідний</t>
  </si>
  <si>
    <t>Інженер -електронік провідний (обслуговування комп'ютерної техніки)</t>
  </si>
  <si>
    <t>Завідувач господарства</t>
  </si>
  <si>
    <t>Столяр</t>
  </si>
  <si>
    <t>Завідувач гуртожитку</t>
  </si>
  <si>
    <t>Паспортист</t>
  </si>
  <si>
    <t>Всього по 2.1.3</t>
  </si>
  <si>
    <t>Начальник штабу цивільної оборони</t>
  </si>
  <si>
    <t>Архіваріус</t>
  </si>
  <si>
    <t>Завідувач канцелярією</t>
  </si>
  <si>
    <t>Бухгалтер І категорії</t>
  </si>
  <si>
    <t>Завідувач механічним відділенням</t>
  </si>
  <si>
    <t>Завідувач економіко -технологічним відділенням</t>
  </si>
  <si>
    <t>Завідувач  навчально- виробничими майстернями</t>
  </si>
  <si>
    <t>Завідувач навчально - методичної лабораторії</t>
  </si>
  <si>
    <t>Завідувач навчально- методичним кабінетом</t>
  </si>
  <si>
    <t>1.2. Майстри виробничого навчання</t>
  </si>
  <si>
    <t>1.3.Фахівці</t>
  </si>
  <si>
    <t>Заступник директора з адміністративно- господарської діяльності</t>
  </si>
  <si>
    <t>Завідувач бібліотеки</t>
  </si>
  <si>
    <t>Провідний інженер  з охорони праці</t>
  </si>
  <si>
    <t>Адміністратор бази даних (обсл.(ЄДЕБО))</t>
  </si>
  <si>
    <t>Фахівець з профорієнтації випусників навчального закладу ІІ категорії</t>
  </si>
  <si>
    <t xml:space="preserve">Адміністратор бази даних </t>
  </si>
  <si>
    <t>Старший інспектор з кадрів</t>
  </si>
  <si>
    <t>1.4.Робітники</t>
  </si>
  <si>
    <t>Робітник з комп.обсл.і ремонту будинків</t>
  </si>
  <si>
    <t>Слюсар -сантехнік</t>
  </si>
  <si>
    <t>2.1.2 Фахівці</t>
  </si>
  <si>
    <t>Адміністратор бази даних (обсл.(ЄДБО))</t>
  </si>
  <si>
    <t>Економіст провідний</t>
  </si>
  <si>
    <t xml:space="preserve">Інженер без категорії </t>
  </si>
  <si>
    <t>Інженер ІІ категорії</t>
  </si>
  <si>
    <t>2.1.3. Робітники</t>
  </si>
  <si>
    <t>Дистперчер</t>
  </si>
  <si>
    <t>Разом по 2.1.1-2.1.3</t>
  </si>
  <si>
    <t>2.3 Гуртожиток</t>
  </si>
  <si>
    <t>х</t>
  </si>
  <si>
    <t>Всього по 2.3.1 - 2.3.2</t>
  </si>
  <si>
    <t>Заст.директора з  навчально - виховної роботи</t>
  </si>
  <si>
    <t>Заст.директора з навчальної роботи</t>
  </si>
  <si>
    <t>Фахівець підрозділу сприяння працевлаштуванню випускників навчального закладу</t>
  </si>
  <si>
    <r>
      <t>Херсонський політехнічний коледж Одеського національного політехнічного уні</t>
    </r>
    <r>
      <rPr>
        <u val="single"/>
        <sz val="16"/>
        <rFont val="Arial"/>
        <family val="2"/>
      </rPr>
      <t>верситету</t>
    </r>
  </si>
  <si>
    <t xml:space="preserve">Головний бухгалтер навчального закладу               </t>
  </si>
  <si>
    <t>А.В.</t>
  </si>
  <si>
    <t>Горішня</t>
  </si>
  <si>
    <t>2.2.5 Матеріальна допомога на оздоровлення педагогічним працівникам</t>
  </si>
  <si>
    <t>2.2.6 Грошова винагорода  за сумлінну працю педагогічним працівникам</t>
  </si>
  <si>
    <t>1.1.Адміністративний персонал , за умови оплати праці віднесений до педпрацівників ( крім майстрів виробничого навчання)</t>
  </si>
  <si>
    <t>1.5.  Викладачі</t>
  </si>
  <si>
    <t>1.6. Надбавка за вислугу років викладачам</t>
  </si>
  <si>
    <t xml:space="preserve">1.7. Надбавка викладачам відповідно до постанови КМУ від 23.03.2011 № 343 </t>
  </si>
  <si>
    <t>1.8.Матеріальна допомога на оздоровлення педагогічним працівникам</t>
  </si>
  <si>
    <t>2.1.4  Викладачі</t>
  </si>
  <si>
    <t xml:space="preserve">2.1.6. Надбавка викладачам відповідно до постанови КМУ від 23.03.2011 № 343 </t>
  </si>
  <si>
    <t>2.1.7 Матеріальна допомога на оздоровлення педагогічним працівникам</t>
  </si>
  <si>
    <t>Мін.з/п</t>
  </si>
  <si>
    <t>Найменування посад</t>
  </si>
  <si>
    <t>Посадовий оклад</t>
  </si>
  <si>
    <t xml:space="preserve">Надбавка за вислугу років педагогічним працівникам, доплата за вислугу років працівникам бібліотек        </t>
  </si>
  <si>
    <t xml:space="preserve">Надбавка за високі досягн.
у праці,класність, почесні та спортивні звання </t>
  </si>
  <si>
    <t>Надбавка згідно з постановами КМУ від 23.03.2011 
№ 373 та від 30.09.2009 №1073</t>
  </si>
  <si>
    <t xml:space="preserve">Доплата за вчене звання,науковий ступінь, керівництво гуртожитком,особливі умови праці тощо </t>
  </si>
  <si>
    <t>Доплата дорівня мінімальної заробітної платии</t>
  </si>
  <si>
    <t xml:space="preserve">Фонд заробітної плати на місяць </t>
  </si>
  <si>
    <t xml:space="preserve">Фонд заробітної плати на рік </t>
  </si>
  <si>
    <t>2.1.1.Адміністративний персонал, за умовами оплати праці віднесений до педпрацівників (крім майстрів виробничого навчання)</t>
  </si>
  <si>
    <t>2.2. Курси з підготовки до вступу до навчального закладу</t>
  </si>
  <si>
    <t>1.9. Матеріальна допомога на оздоровлення бібліотекарям</t>
  </si>
  <si>
    <t>1.10. Грошова винагорода за сумлінну працю педагогічним працівникам</t>
  </si>
  <si>
    <t>1.12  Нерозподілені видатки на виплату заробіної плати наступних періодів</t>
  </si>
  <si>
    <t xml:space="preserve">2.1. Підготовка молодших спеціалістів (молодших спеціалістів та бакалаврів) </t>
  </si>
  <si>
    <t>2.1.5 Надбавка за вислугу років викладачам</t>
  </si>
  <si>
    <t>2.1.10  Нерозподілені видатки на виплату заробіної плати наступних періодів</t>
  </si>
  <si>
    <t xml:space="preserve">Нерозподілені видатки на виплату заробітної плати наступних періодів </t>
  </si>
  <si>
    <t xml:space="preserve">Всього на підготовку молодших спеціалістів (молодших спеціалістів та бакалаврів) </t>
  </si>
  <si>
    <t>Всього пп 2.2</t>
  </si>
  <si>
    <t>Завідувач виробничої практики</t>
  </si>
  <si>
    <t>Секретар друкарка</t>
  </si>
  <si>
    <t>Діловод</t>
  </si>
  <si>
    <t>Сарший лаборант</t>
  </si>
  <si>
    <t>Іеспектор з кадрів з обліку студентів</t>
  </si>
  <si>
    <t>Сестра медична</t>
  </si>
  <si>
    <t>2.1.8 Матеріальна допомога на оздоровлення медичним працівникам</t>
  </si>
  <si>
    <t xml:space="preserve">2.1.9 Грошова винагорода за сумлінну працю педагогічним працівникам </t>
  </si>
  <si>
    <r>
      <t xml:space="preserve">Директор - </t>
    </r>
    <r>
      <rPr>
        <sz val="11"/>
        <rFont val="Arial"/>
        <family val="2"/>
      </rPr>
      <t>100% : 50% -голова ради директорів, 15%- ктн, 25%- доцент,10%-гуртожиток</t>
    </r>
  </si>
  <si>
    <r>
      <t xml:space="preserve">Заст.директора з навчальної роботи </t>
    </r>
    <r>
      <rPr>
        <sz val="11"/>
        <rFont val="Arial"/>
        <family val="2"/>
      </rPr>
      <t>25%:10%- гуртожиток 15 %- ктн</t>
    </r>
  </si>
  <si>
    <r>
      <t xml:space="preserve">Завідувач електротехнічним  відділенням </t>
    </r>
    <r>
      <rPr>
        <sz val="11"/>
        <rFont val="Arial"/>
        <family val="2"/>
      </rPr>
      <t>15%- ктн</t>
    </r>
  </si>
  <si>
    <r>
      <t xml:space="preserve">Завідувач відділенням  компютерної та програмної інженерії </t>
    </r>
    <r>
      <rPr>
        <sz val="11"/>
        <rFont val="Arial"/>
        <family val="2"/>
      </rPr>
      <t>40%: 15%-ктн, 25%-доцент</t>
    </r>
  </si>
  <si>
    <r>
      <t xml:space="preserve">Завідувач навчальної лабораторії </t>
    </r>
    <r>
      <rPr>
        <sz val="11"/>
        <rFont val="Arial"/>
        <family val="2"/>
      </rPr>
      <t>15% -ктн</t>
    </r>
  </si>
  <si>
    <t xml:space="preserve">2.287 Нерозподілені видатки на виплату заробітної плати наступних періодів </t>
  </si>
  <si>
    <t>Штатний  розпис на 2020 рік</t>
  </si>
  <si>
    <t>КПК 2201420</t>
  </si>
  <si>
    <t xml:space="preserve">Заступник Міністра </t>
  </si>
  <si>
    <t>С.В.Даниленко</t>
  </si>
  <si>
    <t xml:space="preserve">"___" ___________ 2020р. _____________ </t>
  </si>
  <si>
    <r>
      <t>Заст.директора з навчально - виховної роботи 10</t>
    </r>
    <r>
      <rPr>
        <sz val="11"/>
        <rFont val="Arial"/>
        <family val="2"/>
      </rPr>
      <t xml:space="preserve">%:10%- гуртожиток </t>
    </r>
  </si>
  <si>
    <t xml:space="preserve">Заст.директора з навчально - виробничої роботи </t>
  </si>
  <si>
    <t xml:space="preserve">вводиться в дію з 1 січня                                                                                                                       </t>
  </si>
  <si>
    <t>Фонд з/п на 8 міс.</t>
  </si>
  <si>
    <t>Херсонський політехнічний фаховий коледж Державного університету " Одеська політехніка"</t>
  </si>
  <si>
    <t xml:space="preserve">вводиться в дію з 1 січня  2021 року                                                                                                                     </t>
  </si>
  <si>
    <t>Штатний  розпис на 2021 рік</t>
  </si>
  <si>
    <t>Світлана ДАНИЛЕНКО</t>
  </si>
  <si>
    <t xml:space="preserve">"___" ___________ 2021р. _____________ </t>
  </si>
  <si>
    <t xml:space="preserve">2.1.6 Надбавка викладачам відповідно до постанови КМУ від 23.03.2011 № 343 </t>
  </si>
  <si>
    <t xml:space="preserve">Директор  </t>
  </si>
  <si>
    <t>Олександр ЯКОВЕНКО</t>
  </si>
  <si>
    <t xml:space="preserve">підпис                         </t>
  </si>
  <si>
    <t>Світлана АВЕРІНА</t>
  </si>
  <si>
    <t>Альона</t>
  </si>
  <si>
    <t>МАДАЄВА</t>
  </si>
  <si>
    <t>2.1.10 Доплата  медичним працівникам зідно постанови КМУ №67 від 03.02.21</t>
  </si>
  <si>
    <t>2.1.11  Нерозподілені видатки на виплату заробіної плати наступних періодів</t>
  </si>
  <si>
    <t>Директор - 100% : 50% -голова ради директорів, 15%- ктн, 25%- доцент,10%-гуртожиток</t>
  </si>
  <si>
    <t>Заст.директора з навчальної роботи 25%:10%- гуртожиток 15 %- ктн</t>
  </si>
  <si>
    <t xml:space="preserve">Заст.директора з навчально - виховної роботи 10%:10%- гуртожиток </t>
  </si>
  <si>
    <t>Завідувач електротехнічним  відділенням 15%- ктн</t>
  </si>
  <si>
    <t>Завідувач відділенням  компютерної та програмної інженерії 40%: 15%-ктн, 25%-доцент</t>
  </si>
  <si>
    <t>Завідувач навчальної лабораторії 15% -ктн</t>
  </si>
  <si>
    <t>Відокремолений структурний підрозділ "Херсонський політехнічний фаховий коледж Державного університету " Одеська політехніка"</t>
  </si>
  <si>
    <t>Завідувач відділенням  програмноїної інженерії 40%: 15%-ктн, 25%-доцент</t>
  </si>
  <si>
    <t>Завідувач відділенням  компютерної  інженерії 40%: 15%-ктн, 25%-доцент</t>
  </si>
  <si>
    <t xml:space="preserve">Завідувач електротехнічним  відділенням 15%- ктн </t>
  </si>
  <si>
    <t xml:space="preserve">2.2.8 Нерозподілені видатки на виплату заробітної плати наступних періодів </t>
  </si>
  <si>
    <t xml:space="preserve">                                                                                                                                                     </t>
  </si>
  <si>
    <t xml:space="preserve">"___" ___________ 2022р. _____________ </t>
  </si>
  <si>
    <t>1.11  Нерозподілені видатки на виплату заробіної плати наступних періодів</t>
  </si>
  <si>
    <t>Штатний  розпис на 2023 рік</t>
  </si>
  <si>
    <t xml:space="preserve">вводиться в дію з 1 січня  2023 року                                                                                                                     </t>
  </si>
  <si>
    <t>Фонд з/п на 11 міс.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</si>
</sst>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_-* #,##0.0_р_._-;\-* #,##0.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0"/>
    </font>
    <font>
      <sz val="14.5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4.5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sz val="15.5"/>
      <name val="Arial"/>
      <family val="2"/>
    </font>
    <font>
      <sz val="14"/>
      <color indexed="22"/>
      <name val="Arial"/>
      <family val="2"/>
    </font>
    <font>
      <u val="single"/>
      <sz val="16"/>
      <name val="Arial"/>
      <family val="2"/>
    </font>
    <font>
      <b/>
      <i/>
      <sz val="14"/>
      <name val="Arial Cyr"/>
      <family val="0"/>
    </font>
    <font>
      <sz val="16"/>
      <color indexed="10"/>
      <name val="Arial"/>
      <family val="2"/>
    </font>
    <font>
      <sz val="11"/>
      <name val="Arial"/>
      <family val="2"/>
    </font>
    <font>
      <b/>
      <i/>
      <sz val="14.5"/>
      <name val="Arial"/>
      <family val="2"/>
    </font>
    <font>
      <i/>
      <sz val="14.5"/>
      <name val="Arial"/>
      <family val="2"/>
    </font>
    <font>
      <sz val="14.5"/>
      <color indexed="22"/>
      <name val="Arial"/>
      <family val="2"/>
    </font>
    <font>
      <sz val="14.5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.5"/>
      <color theme="1"/>
      <name val="Arial"/>
      <family val="2"/>
    </font>
    <font>
      <sz val="14.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0" fontId="4" fillId="0" borderId="0" xfId="54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4" fillId="0" borderId="0" xfId="54" applyFont="1" applyAlignment="1">
      <alignment horizontal="left" vertical="center"/>
      <protection/>
    </xf>
    <xf numFmtId="0" fontId="4" fillId="0" borderId="0" xfId="52" applyFont="1" applyAlignment="1">
      <alignment vertical="center"/>
      <protection/>
    </xf>
    <xf numFmtId="0" fontId="4" fillId="0" borderId="0" xfId="54" applyFont="1" applyBorder="1" applyAlignment="1">
      <alignment vertical="center"/>
      <protection/>
    </xf>
    <xf numFmtId="0" fontId="4" fillId="0" borderId="10" xfId="54" applyFont="1" applyBorder="1" applyAlignment="1">
      <alignment vertical="center"/>
      <protection/>
    </xf>
    <xf numFmtId="0" fontId="6" fillId="0" borderId="0" xfId="52" applyFont="1" applyAlignment="1">
      <alignment vertical="top"/>
      <protection/>
    </xf>
    <xf numFmtId="0" fontId="7" fillId="0" borderId="0" xfId="52" applyFont="1">
      <alignment/>
      <protection/>
    </xf>
    <xf numFmtId="0" fontId="5" fillId="0" borderId="0" xfId="52" applyFont="1" applyAlignment="1">
      <alignment horizontal="right" vertical="center"/>
      <protection/>
    </xf>
    <xf numFmtId="2" fontId="5" fillId="0" borderId="0" xfId="52" applyNumberFormat="1" applyFont="1" applyAlignment="1">
      <alignment vertical="center"/>
      <protection/>
    </xf>
    <xf numFmtId="196" fontId="5" fillId="0" borderId="0" xfId="52" applyNumberFormat="1" applyFont="1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5" fillId="0" borderId="0" xfId="54" applyFont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10" xfId="54" applyFont="1" applyBorder="1" applyAlignment="1">
      <alignment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5" fillId="0" borderId="10" xfId="52" applyFont="1" applyBorder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13" fillId="0" borderId="0" xfId="54" applyFont="1" applyAlignment="1">
      <alignment vertical="center"/>
      <protection/>
    </xf>
    <xf numFmtId="0" fontId="12" fillId="0" borderId="10" xfId="54" applyFont="1" applyBorder="1" applyAlignment="1">
      <alignment vertical="center"/>
      <protection/>
    </xf>
    <xf numFmtId="0" fontId="12" fillId="0" borderId="11" xfId="54" applyFont="1" applyFill="1" applyBorder="1" applyAlignment="1">
      <alignment vertical="center" wrapText="1"/>
      <protection/>
    </xf>
    <xf numFmtId="0" fontId="12" fillId="0" borderId="11" xfId="54" applyFont="1" applyBorder="1" applyAlignment="1">
      <alignment horizontal="center" vertical="center"/>
      <protection/>
    </xf>
    <xf numFmtId="196" fontId="12" fillId="0" borderId="11" xfId="54" applyNumberFormat="1" applyFont="1" applyBorder="1" applyAlignment="1">
      <alignment horizontal="center" vertical="center"/>
      <protection/>
    </xf>
    <xf numFmtId="0" fontId="11" fillId="0" borderId="12" xfId="54" applyFont="1" applyBorder="1" applyAlignment="1">
      <alignment horizontal="center" vertical="center"/>
      <protection/>
    </xf>
    <xf numFmtId="196" fontId="11" fillId="0" borderId="12" xfId="54" applyNumberFormat="1" applyFont="1" applyBorder="1" applyAlignment="1">
      <alignment horizontal="center" vertical="center"/>
      <protection/>
    </xf>
    <xf numFmtId="1" fontId="12" fillId="0" borderId="11" xfId="54" applyNumberFormat="1" applyFont="1" applyBorder="1" applyAlignment="1">
      <alignment horizontal="center" vertical="center"/>
      <protection/>
    </xf>
    <xf numFmtId="0" fontId="12" fillId="0" borderId="12" xfId="54" applyFont="1" applyBorder="1" applyAlignment="1">
      <alignment horizontal="center" vertical="center"/>
      <protection/>
    </xf>
    <xf numFmtId="0" fontId="12" fillId="0" borderId="12" xfId="54" applyFont="1" applyBorder="1" applyAlignment="1">
      <alignment vertical="center"/>
      <protection/>
    </xf>
    <xf numFmtId="0" fontId="12" fillId="0" borderId="13" xfId="54" applyFont="1" applyBorder="1" applyAlignment="1">
      <alignment horizontal="center" vertical="center"/>
      <protection/>
    </xf>
    <xf numFmtId="2" fontId="11" fillId="0" borderId="12" xfId="54" applyNumberFormat="1" applyFont="1" applyBorder="1" applyAlignment="1">
      <alignment horizontal="center" vertical="center"/>
      <protection/>
    </xf>
    <xf numFmtId="9" fontId="12" fillId="0" borderId="11" xfId="54" applyNumberFormat="1" applyFont="1" applyBorder="1" applyAlignment="1">
      <alignment horizontal="center" vertical="center"/>
      <protection/>
    </xf>
    <xf numFmtId="0" fontId="12" fillId="0" borderId="14" xfId="54" applyFont="1" applyBorder="1" applyAlignment="1">
      <alignment vertical="center"/>
      <protection/>
    </xf>
    <xf numFmtId="0" fontId="15" fillId="0" borderId="0" xfId="52" applyFont="1" applyBorder="1" applyAlignment="1">
      <alignment vertical="top"/>
      <protection/>
    </xf>
    <xf numFmtId="0" fontId="15" fillId="0" borderId="0" xfId="52" applyFont="1">
      <alignment/>
      <protection/>
    </xf>
    <xf numFmtId="0" fontId="15" fillId="0" borderId="0" xfId="52" applyFont="1" applyAlignment="1">
      <alignment vertical="top"/>
      <protection/>
    </xf>
    <xf numFmtId="0" fontId="5" fillId="0" borderId="0" xfId="52" applyFont="1">
      <alignment/>
      <protection/>
    </xf>
    <xf numFmtId="0" fontId="9" fillId="0" borderId="0" xfId="52" applyFont="1">
      <alignment/>
      <protection/>
    </xf>
    <xf numFmtId="0" fontId="14" fillId="0" borderId="0" xfId="52" applyFont="1" applyBorder="1">
      <alignment/>
      <protection/>
    </xf>
    <xf numFmtId="0" fontId="10" fillId="0" borderId="0" xfId="52" applyFont="1" applyAlignment="1">
      <alignment vertical="top"/>
      <protection/>
    </xf>
    <xf numFmtId="0" fontId="16" fillId="0" borderId="0" xfId="54" applyFont="1" applyAlignment="1">
      <alignment vertical="center"/>
      <protection/>
    </xf>
    <xf numFmtId="0" fontId="16" fillId="0" borderId="0" xfId="52" applyFont="1" applyAlignment="1">
      <alignment vertical="center"/>
      <protection/>
    </xf>
    <xf numFmtId="0" fontId="17" fillId="0" borderId="0" xfId="54" applyFont="1" applyAlignment="1">
      <alignment horizontal="left" vertical="center"/>
      <protection/>
    </xf>
    <xf numFmtId="0" fontId="17" fillId="0" borderId="0" xfId="54" applyFont="1" applyAlignment="1">
      <alignment vertical="center"/>
      <protection/>
    </xf>
    <xf numFmtId="0" fontId="17" fillId="0" borderId="0" xfId="52" applyFont="1" applyAlignment="1">
      <alignment vertical="center"/>
      <protection/>
    </xf>
    <xf numFmtId="49" fontId="12" fillId="0" borderId="13" xfId="54" applyNumberFormat="1" applyFont="1" applyBorder="1" applyAlignment="1">
      <alignment horizontal="left" vertical="center"/>
      <protection/>
    </xf>
    <xf numFmtId="0" fontId="12" fillId="0" borderId="15" xfId="54" applyFont="1" applyFill="1" applyBorder="1" applyAlignment="1">
      <alignment vertical="center" wrapText="1"/>
      <protection/>
    </xf>
    <xf numFmtId="2" fontId="12" fillId="0" borderId="11" xfId="54" applyNumberFormat="1" applyFont="1" applyBorder="1" applyAlignment="1">
      <alignment horizontal="center" vertical="center"/>
      <protection/>
    </xf>
    <xf numFmtId="2" fontId="12" fillId="0" borderId="16" xfId="54" applyNumberFormat="1" applyFont="1" applyBorder="1" applyAlignment="1">
      <alignment horizontal="center" vertical="center"/>
      <protection/>
    </xf>
    <xf numFmtId="2" fontId="12" fillId="0" borderId="12" xfId="54" applyNumberFormat="1" applyFont="1" applyBorder="1" applyAlignment="1">
      <alignment horizontal="center" vertical="center"/>
      <protection/>
    </xf>
    <xf numFmtId="2" fontId="12" fillId="0" borderId="17" xfId="54" applyNumberFormat="1" applyFont="1" applyBorder="1" applyAlignment="1">
      <alignment horizontal="center" vertical="center"/>
      <protection/>
    </xf>
    <xf numFmtId="2" fontId="12" fillId="0" borderId="18" xfId="54" applyNumberFormat="1" applyFont="1" applyBorder="1" applyAlignment="1">
      <alignment horizontal="center" vertical="center"/>
      <protection/>
    </xf>
    <xf numFmtId="0" fontId="12" fillId="0" borderId="11" xfId="54" applyFont="1" applyBorder="1" applyAlignment="1">
      <alignment horizontal="left" vertical="center"/>
      <protection/>
    </xf>
    <xf numFmtId="196" fontId="12" fillId="0" borderId="12" xfId="54" applyNumberFormat="1" applyFont="1" applyBorder="1" applyAlignment="1">
      <alignment horizontal="center" vertical="center"/>
      <protection/>
    </xf>
    <xf numFmtId="0" fontId="11" fillId="0" borderId="12" xfId="54" applyFont="1" applyBorder="1" applyAlignment="1">
      <alignment vertical="center"/>
      <protection/>
    </xf>
    <xf numFmtId="0" fontId="18" fillId="0" borderId="0" xfId="52" applyFont="1" applyAlignment="1">
      <alignment vertical="center"/>
      <protection/>
    </xf>
    <xf numFmtId="0" fontId="12" fillId="0" borderId="11" xfId="54" applyFont="1" applyBorder="1" applyAlignment="1">
      <alignment horizontal="left" vertical="center" wrapText="1"/>
      <protection/>
    </xf>
    <xf numFmtId="0" fontId="12" fillId="0" borderId="13" xfId="54" applyFont="1" applyBorder="1" applyAlignment="1">
      <alignment horizontal="left" vertical="center"/>
      <protection/>
    </xf>
    <xf numFmtId="0" fontId="12" fillId="0" borderId="15" xfId="54" applyFont="1" applyBorder="1" applyAlignment="1">
      <alignment horizontal="left" vertical="center" wrapText="1"/>
      <protection/>
    </xf>
    <xf numFmtId="0" fontId="12" fillId="0" borderId="15" xfId="54" applyFont="1" applyBorder="1" applyAlignment="1">
      <alignment horizontal="center" vertical="center"/>
      <protection/>
    </xf>
    <xf numFmtId="2" fontId="12" fillId="0" borderId="19" xfId="54" applyNumberFormat="1" applyFont="1" applyBorder="1" applyAlignment="1">
      <alignment horizontal="center" vertical="center"/>
      <protection/>
    </xf>
    <xf numFmtId="0" fontId="11" fillId="0" borderId="19" xfId="54" applyFont="1" applyBorder="1" applyAlignment="1">
      <alignment horizontal="center" vertical="center"/>
      <protection/>
    </xf>
    <xf numFmtId="2" fontId="12" fillId="0" borderId="20" xfId="54" applyNumberFormat="1" applyFont="1" applyBorder="1" applyAlignment="1">
      <alignment horizontal="center" vertical="center"/>
      <protection/>
    </xf>
    <xf numFmtId="2" fontId="12" fillId="0" borderId="21" xfId="54" applyNumberFormat="1" applyFont="1" applyBorder="1" applyAlignment="1">
      <alignment horizontal="center" vertical="center"/>
      <protection/>
    </xf>
    <xf numFmtId="0" fontId="12" fillId="0" borderId="20" xfId="54" applyFont="1" applyBorder="1" applyAlignment="1">
      <alignment vertical="center"/>
      <protection/>
    </xf>
    <xf numFmtId="0" fontId="12" fillId="0" borderId="11" xfId="54" applyFont="1" applyBorder="1" applyAlignment="1">
      <alignment vertical="center"/>
      <protection/>
    </xf>
    <xf numFmtId="0" fontId="11" fillId="0" borderId="11" xfId="54" applyFont="1" applyBorder="1" applyAlignment="1">
      <alignment vertical="center"/>
      <protection/>
    </xf>
    <xf numFmtId="2" fontId="11" fillId="0" borderId="11" xfId="54" applyNumberFormat="1" applyFont="1" applyBorder="1" applyAlignment="1">
      <alignment horizontal="center" vertical="center"/>
      <protection/>
    </xf>
    <xf numFmtId="0" fontId="18" fillId="0" borderId="0" xfId="52" applyFont="1" applyBorder="1" applyAlignment="1">
      <alignment vertical="center"/>
      <protection/>
    </xf>
    <xf numFmtId="0" fontId="12" fillId="0" borderId="15" xfId="54" applyFont="1" applyBorder="1" applyAlignment="1">
      <alignment vertical="center"/>
      <protection/>
    </xf>
    <xf numFmtId="2" fontId="12" fillId="0" borderId="15" xfId="54" applyNumberFormat="1" applyFont="1" applyBorder="1" applyAlignment="1">
      <alignment horizontal="center" vertical="center"/>
      <protection/>
    </xf>
    <xf numFmtId="0" fontId="11" fillId="0" borderId="15" xfId="54" applyFont="1" applyBorder="1" applyAlignment="1">
      <alignment vertical="center"/>
      <protection/>
    </xf>
    <xf numFmtId="2" fontId="11" fillId="0" borderId="15" xfId="54" applyNumberFormat="1" applyFont="1" applyBorder="1" applyAlignment="1">
      <alignment horizontal="center" vertical="center"/>
      <protection/>
    </xf>
    <xf numFmtId="0" fontId="11" fillId="0" borderId="15" xfId="54" applyFont="1" applyBorder="1" applyAlignment="1">
      <alignment horizontal="center" vertical="center"/>
      <protection/>
    </xf>
    <xf numFmtId="2" fontId="11" fillId="0" borderId="20" xfId="54" applyNumberFormat="1" applyFont="1" applyBorder="1" applyAlignment="1">
      <alignment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1" xfId="54" applyFont="1" applyBorder="1" applyAlignment="1">
      <alignment horizontal="center" vertical="center"/>
      <protection/>
    </xf>
    <xf numFmtId="1" fontId="11" fillId="0" borderId="15" xfId="54" applyNumberFormat="1" applyFont="1" applyBorder="1" applyAlignment="1">
      <alignment horizontal="center" vertical="center"/>
      <protection/>
    </xf>
    <xf numFmtId="0" fontId="12" fillId="0" borderId="22" xfId="54" applyFont="1" applyBorder="1" applyAlignment="1">
      <alignment horizontal="center" vertical="center"/>
      <protection/>
    </xf>
    <xf numFmtId="1" fontId="12" fillId="0" borderId="15" xfId="54" applyNumberFormat="1" applyFont="1" applyBorder="1" applyAlignment="1">
      <alignment horizontal="center" vertical="center"/>
      <protection/>
    </xf>
    <xf numFmtId="196" fontId="12" fillId="0" borderId="15" xfId="54" applyNumberFormat="1" applyFont="1" applyBorder="1" applyAlignment="1">
      <alignment horizontal="center" vertical="center"/>
      <protection/>
    </xf>
    <xf numFmtId="0" fontId="11" fillId="32" borderId="15" xfId="54" applyFont="1" applyFill="1" applyBorder="1" applyAlignment="1">
      <alignment horizontal="left" vertical="center"/>
      <protection/>
    </xf>
    <xf numFmtId="0" fontId="11" fillId="32" borderId="15" xfId="54" applyFont="1" applyFill="1" applyBorder="1" applyAlignment="1">
      <alignment horizontal="center" vertical="center"/>
      <protection/>
    </xf>
    <xf numFmtId="0" fontId="11" fillId="32" borderId="23" xfId="54" applyFont="1" applyFill="1" applyBorder="1" applyAlignment="1">
      <alignment horizontal="left" vertical="center"/>
      <protection/>
    </xf>
    <xf numFmtId="0" fontId="11" fillId="32" borderId="12" xfId="54" applyFont="1" applyFill="1" applyBorder="1" applyAlignment="1">
      <alignment horizontal="left" vertical="center"/>
      <protection/>
    </xf>
    <xf numFmtId="0" fontId="11" fillId="32" borderId="17" xfId="54" applyFont="1" applyFill="1" applyBorder="1" applyAlignment="1">
      <alignment horizontal="left" vertical="center"/>
      <protection/>
    </xf>
    <xf numFmtId="0" fontId="11" fillId="0" borderId="23" xfId="54" applyFont="1" applyBorder="1" applyAlignment="1">
      <alignment vertical="center"/>
      <protection/>
    </xf>
    <xf numFmtId="0" fontId="11" fillId="0" borderId="13" xfId="54" applyFont="1" applyBorder="1" applyAlignment="1">
      <alignment vertical="center"/>
      <protection/>
    </xf>
    <xf numFmtId="0" fontId="11" fillId="32" borderId="22" xfId="54" applyFont="1" applyFill="1" applyBorder="1" applyAlignment="1">
      <alignment horizontal="left" vertical="center"/>
      <protection/>
    </xf>
    <xf numFmtId="0" fontId="11" fillId="32" borderId="18" xfId="54" applyFont="1" applyFill="1" applyBorder="1" applyAlignment="1">
      <alignment horizontal="center" vertical="center"/>
      <protection/>
    </xf>
    <xf numFmtId="0" fontId="12" fillId="0" borderId="16" xfId="54" applyFont="1" applyBorder="1" applyAlignment="1">
      <alignment horizontal="center" vertical="center"/>
      <protection/>
    </xf>
    <xf numFmtId="0" fontId="12" fillId="0" borderId="18" xfId="54" applyFont="1" applyBorder="1" applyAlignment="1">
      <alignment horizontal="center" vertical="center"/>
      <protection/>
    </xf>
    <xf numFmtId="0" fontId="12" fillId="0" borderId="22" xfId="54" applyFont="1" applyBorder="1" applyAlignment="1">
      <alignment horizontal="left" vertical="center"/>
      <protection/>
    </xf>
    <xf numFmtId="0" fontId="11" fillId="0" borderId="22" xfId="54" applyFont="1" applyBorder="1" applyAlignment="1">
      <alignment vertical="center"/>
      <protection/>
    </xf>
    <xf numFmtId="0" fontId="11" fillId="0" borderId="23" xfId="54" applyFont="1" applyBorder="1" applyAlignment="1">
      <alignment horizontal="center" vertical="center"/>
      <protection/>
    </xf>
    <xf numFmtId="2" fontId="12" fillId="0" borderId="24" xfId="54" applyNumberFormat="1" applyFont="1" applyBorder="1" applyAlignment="1">
      <alignment horizontal="center" vertical="center"/>
      <protection/>
    </xf>
    <xf numFmtId="0" fontId="8" fillId="0" borderId="25" xfId="54" applyFont="1" applyBorder="1" applyAlignment="1">
      <alignment horizontal="center" vertical="center"/>
      <protection/>
    </xf>
    <xf numFmtId="0" fontId="5" fillId="0" borderId="25" xfId="54" applyFont="1" applyBorder="1" applyAlignment="1">
      <alignment vertical="center" wrapText="1"/>
      <protection/>
    </xf>
    <xf numFmtId="0" fontId="5" fillId="0" borderId="25" xfId="54" applyFont="1" applyBorder="1" applyAlignment="1">
      <alignment vertical="center" textRotation="90" wrapText="1"/>
      <protection/>
    </xf>
    <xf numFmtId="0" fontId="5" fillId="0" borderId="25" xfId="54" applyFont="1" applyBorder="1" applyAlignment="1">
      <alignment horizontal="center" vertical="center"/>
      <protection/>
    </xf>
    <xf numFmtId="0" fontId="5" fillId="0" borderId="25" xfId="54" applyFont="1" applyBorder="1" applyAlignment="1">
      <alignment horizontal="center" vertical="center" wrapText="1"/>
      <protection/>
    </xf>
    <xf numFmtId="2" fontId="12" fillId="0" borderId="26" xfId="54" applyNumberFormat="1" applyFont="1" applyBorder="1" applyAlignment="1">
      <alignment horizontal="center" vertical="center"/>
      <protection/>
    </xf>
    <xf numFmtId="2" fontId="12" fillId="33" borderId="16" xfId="54" applyNumberFormat="1" applyFont="1" applyFill="1" applyBorder="1" applyAlignment="1">
      <alignment horizontal="center" vertical="center"/>
      <protection/>
    </xf>
    <xf numFmtId="0" fontId="7" fillId="0" borderId="27" xfId="54" applyFont="1" applyBorder="1" applyAlignment="1">
      <alignment horizontal="center" vertical="center" wrapText="1"/>
      <protection/>
    </xf>
    <xf numFmtId="0" fontId="7" fillId="0" borderId="28" xfId="54" applyFont="1" applyBorder="1" applyAlignment="1">
      <alignment horizontal="center" vertical="center" wrapText="1"/>
      <protection/>
    </xf>
    <xf numFmtId="2" fontId="12" fillId="0" borderId="29" xfId="54" applyNumberFormat="1" applyFont="1" applyBorder="1" applyAlignment="1">
      <alignment horizontal="center" vertical="center"/>
      <protection/>
    </xf>
    <xf numFmtId="0" fontId="20" fillId="0" borderId="0" xfId="53" applyFont="1">
      <alignment/>
      <protection/>
    </xf>
    <xf numFmtId="2" fontId="21" fillId="0" borderId="11" xfId="54" applyNumberFormat="1" applyFont="1" applyBorder="1" applyAlignment="1">
      <alignment horizontal="center" vertical="center"/>
      <protection/>
    </xf>
    <xf numFmtId="2" fontId="11" fillId="0" borderId="14" xfId="54" applyNumberFormat="1" applyFont="1" applyBorder="1" applyAlignment="1">
      <alignment horizontal="center" vertical="center"/>
      <protection/>
    </xf>
    <xf numFmtId="2" fontId="12" fillId="0" borderId="14" xfId="54" applyNumberFormat="1" applyFont="1" applyBorder="1" applyAlignment="1">
      <alignment horizontal="center" vertical="center"/>
      <protection/>
    </xf>
    <xf numFmtId="0" fontId="8" fillId="0" borderId="0" xfId="54" applyFont="1" applyAlignment="1">
      <alignment vertical="center"/>
      <protection/>
    </xf>
    <xf numFmtId="0" fontId="4" fillId="0" borderId="0" xfId="52" applyFont="1" applyAlignment="1">
      <alignment horizontal="right" vertical="center"/>
      <protection/>
    </xf>
    <xf numFmtId="0" fontId="4" fillId="0" borderId="0" xfId="52" applyFont="1" applyBorder="1" applyAlignment="1">
      <alignment vertical="center"/>
      <protection/>
    </xf>
    <xf numFmtId="0" fontId="23" fillId="0" borderId="0" xfId="53" applyFont="1">
      <alignment/>
      <protection/>
    </xf>
    <xf numFmtId="0" fontId="24" fillId="0" borderId="0" xfId="52" applyFont="1" applyAlignment="1">
      <alignment vertical="top"/>
      <protection/>
    </xf>
    <xf numFmtId="0" fontId="4" fillId="0" borderId="0" xfId="52" applyFont="1">
      <alignment/>
      <protection/>
    </xf>
    <xf numFmtId="0" fontId="4" fillId="0" borderId="27" xfId="54" applyFont="1" applyBorder="1" applyAlignment="1">
      <alignment horizontal="center" vertical="center" wrapText="1"/>
      <protection/>
    </xf>
    <xf numFmtId="0" fontId="25" fillId="0" borderId="0" xfId="52" applyFont="1" applyAlignment="1">
      <alignment vertical="center"/>
      <protection/>
    </xf>
    <xf numFmtId="0" fontId="4" fillId="0" borderId="28" xfId="54" applyFont="1" applyBorder="1" applyAlignment="1">
      <alignment horizontal="center" vertical="center" wrapText="1"/>
      <protection/>
    </xf>
    <xf numFmtId="0" fontId="4" fillId="0" borderId="25" xfId="54" applyFont="1" applyBorder="1" applyAlignment="1">
      <alignment vertical="center" wrapText="1"/>
      <protection/>
    </xf>
    <xf numFmtId="0" fontId="4" fillId="0" borderId="25" xfId="54" applyFont="1" applyBorder="1" applyAlignment="1">
      <alignment vertical="center" textRotation="90" wrapText="1"/>
      <protection/>
    </xf>
    <xf numFmtId="0" fontId="4" fillId="0" borderId="25" xfId="54" applyFont="1" applyBorder="1" applyAlignment="1">
      <alignment horizontal="center" vertical="center" wrapText="1"/>
      <protection/>
    </xf>
    <xf numFmtId="0" fontId="4" fillId="0" borderId="25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vertical="center" wrapText="1"/>
      <protection/>
    </xf>
    <xf numFmtId="0" fontId="4" fillId="0" borderId="11" xfId="54" applyFont="1" applyBorder="1" applyAlignment="1">
      <alignment horizontal="center" vertical="center"/>
      <protection/>
    </xf>
    <xf numFmtId="1" fontId="4" fillId="0" borderId="11" xfId="54" applyNumberFormat="1" applyFont="1" applyBorder="1" applyAlignment="1">
      <alignment horizontal="center" vertical="center"/>
      <protection/>
    </xf>
    <xf numFmtId="2" fontId="4" fillId="0" borderId="11" xfId="54" applyNumberFormat="1" applyFont="1" applyBorder="1" applyAlignment="1">
      <alignment horizontal="center" vertical="center"/>
      <protection/>
    </xf>
    <xf numFmtId="2" fontId="4" fillId="0" borderId="16" xfId="54" applyNumberFormat="1" applyFont="1" applyBorder="1" applyAlignment="1">
      <alignment horizontal="center" vertical="center"/>
      <protection/>
    </xf>
    <xf numFmtId="2" fontId="4" fillId="0" borderId="0" xfId="52" applyNumberFormat="1" applyFont="1" applyAlignment="1">
      <alignment vertical="center"/>
      <protection/>
    </xf>
    <xf numFmtId="9" fontId="4" fillId="0" borderId="11" xfId="54" applyNumberFormat="1" applyFont="1" applyBorder="1" applyAlignment="1">
      <alignment horizontal="center" vertical="center"/>
      <protection/>
    </xf>
    <xf numFmtId="2" fontId="4" fillId="0" borderId="15" xfId="54" applyNumberFormat="1" applyFont="1" applyBorder="1" applyAlignment="1">
      <alignment horizontal="center" vertical="center"/>
      <protection/>
    </xf>
    <xf numFmtId="196" fontId="4" fillId="0" borderId="11" xfId="54" applyNumberFormat="1" applyFont="1" applyBorder="1" applyAlignment="1">
      <alignment horizontal="center" vertical="center"/>
      <protection/>
    </xf>
    <xf numFmtId="0" fontId="4" fillId="0" borderId="22" xfId="54" applyFont="1" applyBorder="1" applyAlignment="1">
      <alignment horizontal="center" vertical="center"/>
      <protection/>
    </xf>
    <xf numFmtId="0" fontId="4" fillId="0" borderId="15" xfId="54" applyFont="1" applyFill="1" applyBorder="1" applyAlignment="1">
      <alignment vertical="center" wrapText="1"/>
      <protection/>
    </xf>
    <xf numFmtId="0" fontId="4" fillId="0" borderId="15" xfId="54" applyFont="1" applyBorder="1" applyAlignment="1">
      <alignment horizontal="center" vertical="center"/>
      <protection/>
    </xf>
    <xf numFmtId="1" fontId="4" fillId="0" borderId="15" xfId="54" applyNumberFormat="1" applyFont="1" applyBorder="1" applyAlignment="1">
      <alignment horizontal="center" vertical="center"/>
      <protection/>
    </xf>
    <xf numFmtId="2" fontId="4" fillId="0" borderId="18" xfId="54" applyNumberFormat="1" applyFont="1" applyBorder="1" applyAlignment="1">
      <alignment horizontal="center" vertical="center"/>
      <protection/>
    </xf>
    <xf numFmtId="0" fontId="8" fillId="0" borderId="12" xfId="54" applyFont="1" applyBorder="1" applyAlignment="1">
      <alignment horizontal="center" vertical="center"/>
      <protection/>
    </xf>
    <xf numFmtId="2" fontId="8" fillId="0" borderId="12" xfId="54" applyNumberFormat="1" applyFont="1" applyBorder="1" applyAlignment="1">
      <alignment horizontal="center" vertical="center"/>
      <protection/>
    </xf>
    <xf numFmtId="2" fontId="4" fillId="0" borderId="12" xfId="54" applyNumberFormat="1" applyFont="1" applyBorder="1" applyAlignment="1">
      <alignment horizontal="center" vertical="center"/>
      <protection/>
    </xf>
    <xf numFmtId="2" fontId="4" fillId="0" borderId="17" xfId="54" applyNumberFormat="1" applyFont="1" applyBorder="1" applyAlignment="1">
      <alignment horizontal="center" vertical="center"/>
      <protection/>
    </xf>
    <xf numFmtId="196" fontId="8" fillId="0" borderId="12" xfId="54" applyNumberFormat="1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left" vertical="center"/>
      <protection/>
    </xf>
    <xf numFmtId="0" fontId="4" fillId="0" borderId="15" xfId="54" applyFont="1" applyBorder="1" applyAlignment="1">
      <alignment horizontal="left" vertical="center" wrapText="1"/>
      <protection/>
    </xf>
    <xf numFmtId="196" fontId="4" fillId="0" borderId="15" xfId="54" applyNumberFormat="1" applyFont="1" applyBorder="1" applyAlignment="1">
      <alignment horizontal="center" vertical="center"/>
      <protection/>
    </xf>
    <xf numFmtId="2" fontId="4" fillId="0" borderId="14" xfId="54" applyNumberFormat="1" applyFont="1" applyBorder="1" applyAlignment="1">
      <alignment horizontal="center" vertical="center"/>
      <protection/>
    </xf>
    <xf numFmtId="0" fontId="4" fillId="0" borderId="14" xfId="54" applyFont="1" applyBorder="1" applyAlignment="1">
      <alignment vertical="center"/>
      <protection/>
    </xf>
    <xf numFmtId="2" fontId="4" fillId="0" borderId="24" xfId="54" applyNumberFormat="1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left" vertical="center"/>
      <protection/>
    </xf>
    <xf numFmtId="0" fontId="8" fillId="0" borderId="11" xfId="54" applyFont="1" applyBorder="1" applyAlignment="1">
      <alignment horizontal="center" vertical="center"/>
      <protection/>
    </xf>
    <xf numFmtId="2" fontId="8" fillId="0" borderId="11" xfId="54" applyNumberFormat="1" applyFont="1" applyBorder="1" applyAlignment="1">
      <alignment horizontal="center" vertical="center"/>
      <protection/>
    </xf>
    <xf numFmtId="0" fontId="4" fillId="0" borderId="11" xfId="54" applyFont="1" applyBorder="1" applyAlignment="1">
      <alignment vertical="center"/>
      <protection/>
    </xf>
    <xf numFmtId="0" fontId="8" fillId="32" borderId="22" xfId="54" applyFont="1" applyFill="1" applyBorder="1" applyAlignment="1">
      <alignment horizontal="left" vertical="center"/>
      <protection/>
    </xf>
    <xf numFmtId="0" fontId="8" fillId="32" borderId="15" xfId="54" applyFont="1" applyFill="1" applyBorder="1" applyAlignment="1">
      <alignment horizontal="left" vertical="center"/>
      <protection/>
    </xf>
    <xf numFmtId="0" fontId="8" fillId="32" borderId="15" xfId="54" applyFont="1" applyFill="1" applyBorder="1" applyAlignment="1">
      <alignment horizontal="center" vertical="center"/>
      <protection/>
    </xf>
    <xf numFmtId="0" fontId="8" fillId="32" borderId="18" xfId="54" applyFont="1" applyFill="1" applyBorder="1" applyAlignment="1">
      <alignment horizontal="center" vertical="center"/>
      <protection/>
    </xf>
    <xf numFmtId="0" fontId="8" fillId="32" borderId="23" xfId="54" applyFont="1" applyFill="1" applyBorder="1" applyAlignment="1">
      <alignment horizontal="left" vertical="center"/>
      <protection/>
    </xf>
    <xf numFmtId="0" fontId="8" fillId="32" borderId="12" xfId="54" applyFont="1" applyFill="1" applyBorder="1" applyAlignment="1">
      <alignment horizontal="left" vertical="center"/>
      <protection/>
    </xf>
    <xf numFmtId="0" fontId="8" fillId="32" borderId="17" xfId="54" applyFont="1" applyFill="1" applyBorder="1" applyAlignment="1">
      <alignment horizontal="left" vertical="center"/>
      <protection/>
    </xf>
    <xf numFmtId="2" fontId="26" fillId="0" borderId="11" xfId="54" applyNumberFormat="1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left" vertical="center" wrapText="1"/>
      <protection/>
    </xf>
    <xf numFmtId="0" fontId="4" fillId="0" borderId="16" xfId="54" applyFont="1" applyBorder="1" applyAlignment="1">
      <alignment horizontal="center" vertical="center"/>
      <protection/>
    </xf>
    <xf numFmtId="0" fontId="4" fillId="0" borderId="22" xfId="54" applyFont="1" applyBorder="1" applyAlignment="1">
      <alignment horizontal="left" vertical="center"/>
      <protection/>
    </xf>
    <xf numFmtId="0" fontId="4" fillId="0" borderId="18" xfId="54" applyFont="1" applyBorder="1" applyAlignment="1">
      <alignment horizontal="center" vertical="center"/>
      <protection/>
    </xf>
    <xf numFmtId="0" fontId="4" fillId="0" borderId="12" xfId="54" applyFont="1" applyBorder="1" applyAlignment="1">
      <alignment horizontal="center" vertical="center"/>
      <protection/>
    </xf>
    <xf numFmtId="196" fontId="4" fillId="0" borderId="12" xfId="54" applyNumberFormat="1" applyFont="1" applyBorder="1" applyAlignment="1">
      <alignment horizontal="center" vertical="center"/>
      <protection/>
    </xf>
    <xf numFmtId="2" fontId="8" fillId="0" borderId="14" xfId="54" applyNumberFormat="1" applyFont="1" applyBorder="1" applyAlignment="1">
      <alignment horizontal="center" vertical="center"/>
      <protection/>
    </xf>
    <xf numFmtId="0" fontId="8" fillId="0" borderId="13" xfId="54" applyFont="1" applyBorder="1" applyAlignment="1">
      <alignment vertical="center"/>
      <protection/>
    </xf>
    <xf numFmtId="0" fontId="8" fillId="0" borderId="11" xfId="54" applyFont="1" applyBorder="1" applyAlignment="1">
      <alignment vertical="center"/>
      <protection/>
    </xf>
    <xf numFmtId="2" fontId="4" fillId="33" borderId="16" xfId="54" applyNumberFormat="1" applyFont="1" applyFill="1" applyBorder="1" applyAlignment="1">
      <alignment horizontal="center" vertical="center"/>
      <protection/>
    </xf>
    <xf numFmtId="49" fontId="4" fillId="0" borderId="13" xfId="54" applyNumberFormat="1" applyFont="1" applyBorder="1" applyAlignment="1">
      <alignment horizontal="left" vertical="center"/>
      <protection/>
    </xf>
    <xf numFmtId="0" fontId="8" fillId="0" borderId="22" xfId="54" applyFont="1" applyBorder="1" applyAlignment="1">
      <alignment vertical="center"/>
      <protection/>
    </xf>
    <xf numFmtId="0" fontId="8" fillId="0" borderId="15" xfId="54" applyFont="1" applyBorder="1" applyAlignment="1">
      <alignment vertical="center"/>
      <protection/>
    </xf>
    <xf numFmtId="0" fontId="4" fillId="0" borderId="15" xfId="54" applyFont="1" applyBorder="1" applyAlignment="1">
      <alignment vertical="center"/>
      <protection/>
    </xf>
    <xf numFmtId="1" fontId="8" fillId="0" borderId="15" xfId="54" applyNumberFormat="1" applyFont="1" applyBorder="1" applyAlignment="1">
      <alignment horizontal="center" vertical="center"/>
      <protection/>
    </xf>
    <xf numFmtId="2" fontId="8" fillId="0" borderId="15" xfId="54" applyNumberFormat="1" applyFont="1" applyBorder="1" applyAlignment="1">
      <alignment horizontal="center" vertical="center"/>
      <protection/>
    </xf>
    <xf numFmtId="0" fontId="8" fillId="0" borderId="15" xfId="54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8" fillId="0" borderId="23" xfId="54" applyFont="1" applyBorder="1" applyAlignment="1">
      <alignment horizontal="center" vertical="center"/>
      <protection/>
    </xf>
    <xf numFmtId="0" fontId="8" fillId="0" borderId="12" xfId="54" applyFont="1" applyBorder="1" applyAlignment="1">
      <alignment vertical="center"/>
      <protection/>
    </xf>
    <xf numFmtId="2" fontId="4" fillId="0" borderId="29" xfId="54" applyNumberFormat="1" applyFont="1" applyBorder="1" applyAlignment="1">
      <alignment horizontal="center" vertical="center"/>
      <protection/>
    </xf>
    <xf numFmtId="2" fontId="4" fillId="0" borderId="26" xfId="54" applyNumberFormat="1" applyFont="1" applyBorder="1" applyAlignment="1">
      <alignment horizontal="center" vertical="center"/>
      <protection/>
    </xf>
    <xf numFmtId="0" fontId="8" fillId="0" borderId="19" xfId="54" applyFont="1" applyBorder="1" applyAlignment="1">
      <alignment horizontal="center" vertical="center"/>
      <protection/>
    </xf>
    <xf numFmtId="2" fontId="4" fillId="0" borderId="19" xfId="54" applyNumberFormat="1" applyFont="1" applyBorder="1" applyAlignment="1">
      <alignment horizontal="center" vertical="center"/>
      <protection/>
    </xf>
    <xf numFmtId="2" fontId="4" fillId="0" borderId="21" xfId="54" applyNumberFormat="1" applyFont="1" applyBorder="1" applyAlignment="1">
      <alignment horizontal="center" vertical="center"/>
      <protection/>
    </xf>
    <xf numFmtId="0" fontId="8" fillId="0" borderId="23" xfId="54" applyFont="1" applyBorder="1" applyAlignment="1">
      <alignment vertical="center"/>
      <protection/>
    </xf>
    <xf numFmtId="0" fontId="4" fillId="0" borderId="12" xfId="54" applyFont="1" applyBorder="1" applyAlignment="1">
      <alignment vertical="center"/>
      <protection/>
    </xf>
    <xf numFmtId="2" fontId="8" fillId="0" borderId="20" xfId="54" applyNumberFormat="1" applyFont="1" applyBorder="1" applyAlignment="1">
      <alignment vertical="center"/>
      <protection/>
    </xf>
    <xf numFmtId="0" fontId="4" fillId="0" borderId="20" xfId="54" applyFont="1" applyBorder="1" applyAlignment="1">
      <alignment vertical="center"/>
      <protection/>
    </xf>
    <xf numFmtId="2" fontId="4" fillId="0" borderId="20" xfId="54" applyNumberFormat="1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top"/>
      <protection/>
    </xf>
    <xf numFmtId="0" fontId="4" fillId="0" borderId="10" xfId="52" applyFont="1" applyBorder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4" fillId="0" borderId="0" xfId="52" applyFont="1">
      <alignment/>
      <protection/>
    </xf>
    <xf numFmtId="0" fontId="4" fillId="0" borderId="0" xfId="54" applyFont="1" applyAlignment="1">
      <alignment horizontal="center" vertical="center"/>
      <protection/>
    </xf>
    <xf numFmtId="0" fontId="8" fillId="0" borderId="0" xfId="52" applyFont="1">
      <alignment/>
      <protection/>
    </xf>
    <xf numFmtId="0" fontId="23" fillId="0" borderId="0" xfId="52" applyFont="1" applyBorder="1">
      <alignment/>
      <protection/>
    </xf>
    <xf numFmtId="196" fontId="4" fillId="0" borderId="0" xfId="52" applyNumberFormat="1" applyFont="1" applyAlignment="1">
      <alignment vertical="center"/>
      <protection/>
    </xf>
    <xf numFmtId="2" fontId="60" fillId="0" borderId="16" xfId="54" applyNumberFormat="1" applyFont="1" applyBorder="1" applyAlignment="1">
      <alignment horizontal="center" vertical="center"/>
      <protection/>
    </xf>
    <xf numFmtId="2" fontId="61" fillId="0" borderId="24" xfId="54" applyNumberFormat="1" applyFont="1" applyBorder="1" applyAlignment="1">
      <alignment horizontal="center" vertical="center"/>
      <protection/>
    </xf>
    <xf numFmtId="2" fontId="61" fillId="0" borderId="16" xfId="54" applyNumberFormat="1" applyFont="1" applyBorder="1" applyAlignment="1">
      <alignment horizontal="center" vertical="center"/>
      <protection/>
    </xf>
    <xf numFmtId="2" fontId="61" fillId="0" borderId="12" xfId="54" applyNumberFormat="1" applyFont="1" applyBorder="1" applyAlignment="1">
      <alignment horizontal="center" vertical="center"/>
      <protection/>
    </xf>
    <xf numFmtId="2" fontId="61" fillId="0" borderId="17" xfId="54" applyNumberFormat="1" applyFont="1" applyBorder="1" applyAlignment="1">
      <alignment horizontal="center" vertical="center"/>
      <protection/>
    </xf>
    <xf numFmtId="2" fontId="61" fillId="0" borderId="20" xfId="54" applyNumberFormat="1" applyFont="1" applyBorder="1" applyAlignment="1">
      <alignment horizontal="center" vertical="center"/>
      <protection/>
    </xf>
    <xf numFmtId="2" fontId="61" fillId="0" borderId="26" xfId="54" applyNumberFormat="1" applyFont="1" applyBorder="1" applyAlignment="1">
      <alignment horizontal="center" vertical="center"/>
      <protection/>
    </xf>
    <xf numFmtId="0" fontId="5" fillId="0" borderId="27" xfId="54" applyFont="1" applyBorder="1" applyAlignment="1">
      <alignment horizontal="center" vertical="center" wrapText="1"/>
      <protection/>
    </xf>
    <xf numFmtId="0" fontId="5" fillId="0" borderId="28" xfId="54" applyFont="1" applyBorder="1" applyAlignment="1">
      <alignment horizontal="center" vertical="center" wrapText="1"/>
      <protection/>
    </xf>
    <xf numFmtId="0" fontId="5" fillId="0" borderId="27" xfId="54" applyFont="1" applyBorder="1" applyAlignment="1">
      <alignment horizontal="center" vertical="center" textRotation="90" wrapText="1"/>
      <protection/>
    </xf>
    <xf numFmtId="0" fontId="5" fillId="0" borderId="28" xfId="54" applyFont="1" applyBorder="1" applyAlignment="1">
      <alignment horizontal="center" vertical="center" textRotation="90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31" xfId="52" applyFont="1" applyBorder="1" applyAlignment="1">
      <alignment horizontal="center" vertical="center" wrapText="1"/>
      <protection/>
    </xf>
    <xf numFmtId="0" fontId="7" fillId="0" borderId="30" xfId="54" applyFont="1" applyBorder="1" applyAlignment="1">
      <alignment horizontal="center" vertical="center" wrapText="1"/>
      <protection/>
    </xf>
    <xf numFmtId="0" fontId="7" fillId="0" borderId="31" xfId="54" applyFont="1" applyBorder="1" applyAlignment="1">
      <alignment horizontal="center" vertical="center" wrapText="1"/>
      <protection/>
    </xf>
    <xf numFmtId="0" fontId="13" fillId="32" borderId="32" xfId="54" applyFont="1" applyFill="1" applyBorder="1" applyAlignment="1">
      <alignment horizontal="left" vertical="center"/>
      <protection/>
    </xf>
    <xf numFmtId="0" fontId="13" fillId="32" borderId="33" xfId="54" applyFont="1" applyFill="1" applyBorder="1" applyAlignment="1">
      <alignment horizontal="left" vertical="center"/>
      <protection/>
    </xf>
    <xf numFmtId="0" fontId="13" fillId="32" borderId="34" xfId="54" applyFont="1" applyFill="1" applyBorder="1" applyAlignment="1">
      <alignment horizontal="left" vertical="center"/>
      <protection/>
    </xf>
    <xf numFmtId="0" fontId="13" fillId="0" borderId="35" xfId="54" applyFont="1" applyBorder="1" applyAlignment="1">
      <alignment horizontal="left" vertical="center"/>
      <protection/>
    </xf>
    <xf numFmtId="0" fontId="13" fillId="0" borderId="36" xfId="54" applyFont="1" applyBorder="1" applyAlignment="1">
      <alignment horizontal="left" vertical="center"/>
      <protection/>
    </xf>
    <xf numFmtId="0" fontId="13" fillId="0" borderId="37" xfId="54" applyFont="1" applyBorder="1" applyAlignment="1">
      <alignment horizontal="left" vertical="center"/>
      <protection/>
    </xf>
    <xf numFmtId="0" fontId="11" fillId="0" borderId="23" xfId="54" applyFont="1" applyFill="1" applyBorder="1" applyAlignment="1">
      <alignment horizontal="left" vertical="center" wrapText="1"/>
      <protection/>
    </xf>
    <xf numFmtId="0" fontId="11" fillId="0" borderId="12" xfId="54" applyFont="1" applyFill="1" applyBorder="1" applyAlignment="1">
      <alignment horizontal="left" vertical="center" wrapText="1"/>
      <protection/>
    </xf>
    <xf numFmtId="0" fontId="13" fillId="0" borderId="38" xfId="54" applyFont="1" applyBorder="1" applyAlignment="1">
      <alignment horizontal="left" vertical="center"/>
      <protection/>
    </xf>
    <xf numFmtId="0" fontId="13" fillId="0" borderId="14" xfId="54" applyFont="1" applyBorder="1" applyAlignment="1">
      <alignment horizontal="left" vertical="center"/>
      <protection/>
    </xf>
    <xf numFmtId="0" fontId="13" fillId="0" borderId="24" xfId="54" applyFont="1" applyBorder="1" applyAlignment="1">
      <alignment horizontal="left" vertical="center"/>
      <protection/>
    </xf>
    <xf numFmtId="0" fontId="12" fillId="0" borderId="38" xfId="54" applyFont="1" applyBorder="1" applyAlignment="1">
      <alignment horizontal="left" vertical="center"/>
      <protection/>
    </xf>
    <xf numFmtId="0" fontId="12" fillId="0" borderId="14" xfId="54" applyFont="1" applyBorder="1" applyAlignment="1">
      <alignment horizontal="left" vertical="center"/>
      <protection/>
    </xf>
    <xf numFmtId="0" fontId="12" fillId="0" borderId="13" xfId="54" applyFont="1" applyBorder="1" applyAlignment="1">
      <alignment horizontal="left" vertical="center"/>
      <protection/>
    </xf>
    <xf numFmtId="0" fontId="12" fillId="0" borderId="11" xfId="54" applyFont="1" applyBorder="1" applyAlignment="1">
      <alignment horizontal="left" vertical="center"/>
      <protection/>
    </xf>
    <xf numFmtId="16" fontId="12" fillId="0" borderId="13" xfId="54" applyNumberFormat="1" applyFont="1" applyBorder="1" applyAlignment="1">
      <alignment horizontal="left" vertical="center"/>
      <protection/>
    </xf>
    <xf numFmtId="16" fontId="12" fillId="0" borderId="11" xfId="54" applyNumberFormat="1" applyFont="1" applyBorder="1" applyAlignment="1">
      <alignment horizontal="left" vertical="center"/>
      <protection/>
    </xf>
    <xf numFmtId="16" fontId="12" fillId="0" borderId="39" xfId="54" applyNumberFormat="1" applyFont="1" applyBorder="1" applyAlignment="1">
      <alignment horizontal="left" vertical="center"/>
      <protection/>
    </xf>
    <xf numFmtId="16" fontId="12" fillId="0" borderId="40" xfId="54" applyNumberFormat="1" applyFont="1" applyBorder="1" applyAlignment="1">
      <alignment horizontal="left" vertical="center"/>
      <protection/>
    </xf>
    <xf numFmtId="16" fontId="12" fillId="0" borderId="41" xfId="54" applyNumberFormat="1" applyFont="1" applyBorder="1" applyAlignment="1">
      <alignment horizontal="left" vertical="center"/>
      <protection/>
    </xf>
    <xf numFmtId="0" fontId="11" fillId="0" borderId="13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left" vertical="center"/>
      <protection/>
    </xf>
    <xf numFmtId="0" fontId="11" fillId="0" borderId="38" xfId="54" applyFont="1" applyBorder="1" applyAlignment="1">
      <alignment horizontal="left" vertical="center"/>
      <protection/>
    </xf>
    <xf numFmtId="0" fontId="11" fillId="0" borderId="14" xfId="54" applyFont="1" applyBorder="1" applyAlignment="1">
      <alignment horizontal="left" vertical="center"/>
      <protection/>
    </xf>
    <xf numFmtId="0" fontId="11" fillId="0" borderId="24" xfId="54" applyFont="1" applyBorder="1" applyAlignment="1">
      <alignment horizontal="left" vertical="center"/>
      <protection/>
    </xf>
    <xf numFmtId="0" fontId="11" fillId="32" borderId="13" xfId="54" applyFont="1" applyFill="1" applyBorder="1" applyAlignment="1">
      <alignment horizontal="left" vertical="center"/>
      <protection/>
    </xf>
    <xf numFmtId="0" fontId="11" fillId="32" borderId="11" xfId="54" applyFont="1" applyFill="1" applyBorder="1" applyAlignment="1">
      <alignment horizontal="left" vertical="center"/>
      <protection/>
    </xf>
    <xf numFmtId="0" fontId="11" fillId="32" borderId="16" xfId="54" applyFont="1" applyFill="1" applyBorder="1" applyAlignment="1">
      <alignment horizontal="left" vertical="center"/>
      <protection/>
    </xf>
    <xf numFmtId="0" fontId="12" fillId="0" borderId="39" xfId="54" applyFont="1" applyBorder="1" applyAlignment="1">
      <alignment horizontal="left" vertical="center" wrapText="1"/>
      <protection/>
    </xf>
    <xf numFmtId="0" fontId="12" fillId="0" borderId="41" xfId="54" applyFont="1" applyBorder="1" applyAlignment="1">
      <alignment horizontal="left" vertical="center" wrapText="1"/>
      <protection/>
    </xf>
    <xf numFmtId="0" fontId="12" fillId="0" borderId="39" xfId="54" applyFont="1" applyBorder="1" applyAlignment="1">
      <alignment horizontal="left" vertical="center"/>
      <protection/>
    </xf>
    <xf numFmtId="0" fontId="12" fillId="0" borderId="40" xfId="54" applyFont="1" applyBorder="1" applyAlignment="1">
      <alignment horizontal="left" vertical="center"/>
      <protection/>
    </xf>
    <xf numFmtId="0" fontId="12" fillId="0" borderId="41" xfId="54" applyFont="1" applyBorder="1" applyAlignment="1">
      <alignment horizontal="left" vertical="center"/>
      <protection/>
    </xf>
    <xf numFmtId="0" fontId="11" fillId="34" borderId="23" xfId="54" applyFont="1" applyFill="1" applyBorder="1" applyAlignment="1">
      <alignment vertical="center"/>
      <protection/>
    </xf>
    <xf numFmtId="0" fontId="11" fillId="34" borderId="12" xfId="54" applyFont="1" applyFill="1" applyBorder="1" applyAlignment="1">
      <alignment vertical="center"/>
      <protection/>
    </xf>
    <xf numFmtId="0" fontId="11" fillId="34" borderId="17" xfId="54" applyFont="1" applyFill="1" applyBorder="1" applyAlignment="1">
      <alignment vertical="center"/>
      <protection/>
    </xf>
    <xf numFmtId="0" fontId="11" fillId="0" borderId="42" xfId="54" applyFont="1" applyBorder="1" applyAlignment="1">
      <alignment vertical="center"/>
      <protection/>
    </xf>
    <xf numFmtId="0" fontId="11" fillId="0" borderId="19" xfId="54" applyFont="1" applyBorder="1" applyAlignment="1">
      <alignment vertical="center"/>
      <protection/>
    </xf>
    <xf numFmtId="0" fontId="11" fillId="0" borderId="21" xfId="54" applyFont="1" applyBorder="1" applyAlignment="1">
      <alignment vertical="center"/>
      <protection/>
    </xf>
    <xf numFmtId="0" fontId="11" fillId="0" borderId="23" xfId="54" applyFont="1" applyBorder="1" applyAlignment="1">
      <alignment horizontal="left" vertical="center"/>
      <protection/>
    </xf>
    <xf numFmtId="0" fontId="12" fillId="0" borderId="17" xfId="54" applyFont="1" applyBorder="1" applyAlignment="1">
      <alignment horizontal="left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12" fillId="0" borderId="12" xfId="54" applyFont="1" applyBorder="1" applyAlignment="1">
      <alignment horizontal="left" vertical="center"/>
      <protection/>
    </xf>
    <xf numFmtId="0" fontId="11" fillId="0" borderId="12" xfId="54" applyFont="1" applyBorder="1" applyAlignment="1">
      <alignment horizontal="left" vertical="center"/>
      <protection/>
    </xf>
    <xf numFmtId="0" fontId="12" fillId="0" borderId="43" xfId="54" applyFont="1" applyBorder="1" applyAlignment="1">
      <alignment horizontal="left" vertical="center"/>
      <protection/>
    </xf>
    <xf numFmtId="0" fontId="11" fillId="0" borderId="44" xfId="54" applyFont="1" applyBorder="1" applyAlignment="1">
      <alignment horizontal="left" vertical="center"/>
      <protection/>
    </xf>
    <xf numFmtId="0" fontId="11" fillId="0" borderId="45" xfId="54" applyFont="1" applyBorder="1" applyAlignment="1">
      <alignment horizontal="left" vertical="center"/>
      <protection/>
    </xf>
    <xf numFmtId="0" fontId="11" fillId="0" borderId="42" xfId="54" applyFont="1" applyBorder="1" applyAlignment="1">
      <alignment horizontal="left" vertical="center"/>
      <protection/>
    </xf>
    <xf numFmtId="0" fontId="11" fillId="0" borderId="19" xfId="54" applyFont="1" applyBorder="1" applyAlignment="1">
      <alignment horizontal="left" vertical="center"/>
      <protection/>
    </xf>
    <xf numFmtId="0" fontId="11" fillId="0" borderId="32" xfId="54" applyFont="1" applyBorder="1" applyAlignment="1">
      <alignment horizontal="left" vertical="center"/>
      <protection/>
    </xf>
    <xf numFmtId="0" fontId="11" fillId="0" borderId="33" xfId="54" applyFont="1" applyBorder="1" applyAlignment="1">
      <alignment horizontal="left" vertical="center"/>
      <protection/>
    </xf>
    <xf numFmtId="0" fontId="11" fillId="0" borderId="46" xfId="54" applyFont="1" applyBorder="1" applyAlignment="1">
      <alignment horizontal="left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8" fillId="0" borderId="38" xfId="54" applyFont="1" applyBorder="1" applyAlignment="1">
      <alignment horizontal="left" vertical="center"/>
      <protection/>
    </xf>
    <xf numFmtId="0" fontId="8" fillId="0" borderId="14" xfId="54" applyFont="1" applyBorder="1" applyAlignment="1">
      <alignment horizontal="left" vertical="center"/>
      <protection/>
    </xf>
    <xf numFmtId="0" fontId="8" fillId="0" borderId="24" xfId="54" applyFont="1" applyBorder="1" applyAlignment="1">
      <alignment horizontal="left" vertical="center"/>
      <protection/>
    </xf>
    <xf numFmtId="0" fontId="8" fillId="0" borderId="23" xfId="54" applyFont="1" applyBorder="1" applyAlignment="1">
      <alignment horizontal="left" vertical="center"/>
      <protection/>
    </xf>
    <xf numFmtId="0" fontId="4" fillId="0" borderId="12" xfId="54" applyFont="1" applyBorder="1" applyAlignment="1">
      <alignment horizontal="left" vertical="center"/>
      <protection/>
    </xf>
    <xf numFmtId="0" fontId="8" fillId="0" borderId="12" xfId="54" applyFont="1" applyBorder="1" applyAlignment="1">
      <alignment horizontal="left" vertical="center"/>
      <protection/>
    </xf>
    <xf numFmtId="0" fontId="4" fillId="0" borderId="43" xfId="54" applyFont="1" applyBorder="1" applyAlignment="1">
      <alignment horizontal="left" vertical="center"/>
      <protection/>
    </xf>
    <xf numFmtId="0" fontId="8" fillId="0" borderId="44" xfId="54" applyFont="1" applyBorder="1" applyAlignment="1">
      <alignment horizontal="left" vertical="center"/>
      <protection/>
    </xf>
    <xf numFmtId="0" fontId="8" fillId="0" borderId="45" xfId="54" applyFont="1" applyBorder="1" applyAlignment="1">
      <alignment horizontal="left" vertical="center"/>
      <protection/>
    </xf>
    <xf numFmtId="0" fontId="8" fillId="0" borderId="42" xfId="54" applyFont="1" applyBorder="1" applyAlignment="1">
      <alignment horizontal="left" vertical="center"/>
      <protection/>
    </xf>
    <xf numFmtId="0" fontId="8" fillId="0" borderId="19" xfId="54" applyFont="1" applyBorder="1" applyAlignment="1">
      <alignment horizontal="left" vertical="center"/>
      <protection/>
    </xf>
    <xf numFmtId="0" fontId="8" fillId="0" borderId="32" xfId="54" applyFont="1" applyBorder="1" applyAlignment="1">
      <alignment horizontal="left" vertical="center"/>
      <protection/>
    </xf>
    <xf numFmtId="0" fontId="8" fillId="0" borderId="33" xfId="54" applyFont="1" applyBorder="1" applyAlignment="1">
      <alignment horizontal="left" vertical="center"/>
      <protection/>
    </xf>
    <xf numFmtId="0" fontId="8" fillId="0" borderId="46" xfId="54" applyFont="1" applyBorder="1" applyAlignment="1">
      <alignment horizontal="left" vertical="center"/>
      <protection/>
    </xf>
    <xf numFmtId="0" fontId="4" fillId="0" borderId="13" xfId="54" applyFont="1" applyBorder="1" applyAlignment="1">
      <alignment horizontal="left" vertical="center"/>
      <protection/>
    </xf>
    <xf numFmtId="0" fontId="4" fillId="0" borderId="11" xfId="54" applyFont="1" applyBorder="1" applyAlignment="1">
      <alignment horizontal="left" vertical="center"/>
      <protection/>
    </xf>
    <xf numFmtId="0" fontId="4" fillId="0" borderId="39" xfId="54" applyFont="1" applyBorder="1" applyAlignment="1">
      <alignment horizontal="left" vertical="center"/>
      <protection/>
    </xf>
    <xf numFmtId="0" fontId="4" fillId="0" borderId="40" xfId="54" applyFont="1" applyBorder="1" applyAlignment="1">
      <alignment horizontal="left" vertical="center"/>
      <protection/>
    </xf>
    <xf numFmtId="0" fontId="4" fillId="0" borderId="41" xfId="54" applyFont="1" applyBorder="1" applyAlignment="1">
      <alignment horizontal="left" vertical="center"/>
      <protection/>
    </xf>
    <xf numFmtId="0" fontId="8" fillId="34" borderId="23" xfId="54" applyFont="1" applyFill="1" applyBorder="1" applyAlignment="1">
      <alignment vertical="center"/>
      <protection/>
    </xf>
    <xf numFmtId="0" fontId="8" fillId="34" borderId="12" xfId="54" applyFont="1" applyFill="1" applyBorder="1" applyAlignment="1">
      <alignment vertical="center"/>
      <protection/>
    </xf>
    <xf numFmtId="0" fontId="8" fillId="34" borderId="17" xfId="54" applyFont="1" applyFill="1" applyBorder="1" applyAlignment="1">
      <alignment vertical="center"/>
      <protection/>
    </xf>
    <xf numFmtId="0" fontId="8" fillId="0" borderId="42" xfId="54" applyFont="1" applyBorder="1" applyAlignment="1">
      <alignment vertical="center"/>
      <protection/>
    </xf>
    <xf numFmtId="0" fontId="8" fillId="0" borderId="19" xfId="54" applyFont="1" applyBorder="1" applyAlignment="1">
      <alignment vertical="center"/>
      <protection/>
    </xf>
    <xf numFmtId="0" fontId="8" fillId="0" borderId="21" xfId="54" applyFont="1" applyBorder="1" applyAlignment="1">
      <alignment vertical="center"/>
      <protection/>
    </xf>
    <xf numFmtId="0" fontId="4" fillId="0" borderId="17" xfId="54" applyFont="1" applyBorder="1" applyAlignment="1">
      <alignment horizontal="left" vertical="center"/>
      <protection/>
    </xf>
    <xf numFmtId="16" fontId="4" fillId="0" borderId="39" xfId="54" applyNumberFormat="1" applyFont="1" applyBorder="1" applyAlignment="1">
      <alignment horizontal="left" vertical="center"/>
      <protection/>
    </xf>
    <xf numFmtId="16" fontId="4" fillId="0" borderId="40" xfId="54" applyNumberFormat="1" applyFont="1" applyBorder="1" applyAlignment="1">
      <alignment horizontal="left" vertical="center"/>
      <protection/>
    </xf>
    <xf numFmtId="16" fontId="4" fillId="0" borderId="41" xfId="54" applyNumberFormat="1" applyFont="1" applyBorder="1" applyAlignment="1">
      <alignment horizontal="left" vertical="center"/>
      <protection/>
    </xf>
    <xf numFmtId="0" fontId="8" fillId="32" borderId="13" xfId="54" applyFont="1" applyFill="1" applyBorder="1" applyAlignment="1">
      <alignment horizontal="left" vertical="center"/>
      <protection/>
    </xf>
    <xf numFmtId="0" fontId="8" fillId="32" borderId="11" xfId="54" applyFont="1" applyFill="1" applyBorder="1" applyAlignment="1">
      <alignment horizontal="left" vertical="center"/>
      <protection/>
    </xf>
    <xf numFmtId="0" fontId="8" fillId="32" borderId="16" xfId="54" applyFont="1" applyFill="1" applyBorder="1" applyAlignment="1">
      <alignment horizontal="left" vertical="center"/>
      <protection/>
    </xf>
    <xf numFmtId="0" fontId="4" fillId="0" borderId="39" xfId="54" applyFont="1" applyBorder="1" applyAlignment="1">
      <alignment horizontal="left" vertical="center" wrapText="1"/>
      <protection/>
    </xf>
    <xf numFmtId="0" fontId="4" fillId="0" borderId="41" xfId="54" applyFont="1" applyBorder="1" applyAlignment="1">
      <alignment horizontal="left" vertical="center" wrapText="1"/>
      <protection/>
    </xf>
    <xf numFmtId="0" fontId="8" fillId="0" borderId="23" xfId="54" applyFont="1" applyFill="1" applyBorder="1" applyAlignment="1">
      <alignment horizontal="left" vertical="center" wrapText="1"/>
      <protection/>
    </xf>
    <xf numFmtId="0" fontId="8" fillId="0" borderId="12" xfId="54" applyFont="1" applyFill="1" applyBorder="1" applyAlignment="1">
      <alignment horizontal="left" vertical="center" wrapText="1"/>
      <protection/>
    </xf>
    <xf numFmtId="0" fontId="4" fillId="0" borderId="38" xfId="54" applyFont="1" applyBorder="1" applyAlignment="1">
      <alignment horizontal="left" vertical="center"/>
      <protection/>
    </xf>
    <xf numFmtId="0" fontId="4" fillId="0" borderId="14" xfId="54" applyFont="1" applyBorder="1" applyAlignment="1">
      <alignment horizontal="left" vertical="center"/>
      <protection/>
    </xf>
    <xf numFmtId="16" fontId="4" fillId="0" borderId="13" xfId="54" applyNumberFormat="1" applyFont="1" applyBorder="1" applyAlignment="1">
      <alignment horizontal="left" vertical="center"/>
      <protection/>
    </xf>
    <xf numFmtId="16" fontId="4" fillId="0" borderId="11" xfId="54" applyNumberFormat="1" applyFont="1" applyBorder="1" applyAlignment="1">
      <alignment horizontal="left" vertical="center"/>
      <protection/>
    </xf>
    <xf numFmtId="0" fontId="8" fillId="0" borderId="13" xfId="54" applyFont="1" applyBorder="1" applyAlignment="1">
      <alignment horizontal="left" vertical="center"/>
      <protection/>
    </xf>
    <xf numFmtId="0" fontId="8" fillId="0" borderId="11" xfId="54" applyFont="1" applyBorder="1" applyAlignment="1">
      <alignment horizontal="left" vertical="center"/>
      <protection/>
    </xf>
    <xf numFmtId="0" fontId="8" fillId="32" borderId="32" xfId="54" applyFont="1" applyFill="1" applyBorder="1" applyAlignment="1">
      <alignment horizontal="left" vertical="center"/>
      <protection/>
    </xf>
    <xf numFmtId="0" fontId="8" fillId="32" borderId="33" xfId="54" applyFont="1" applyFill="1" applyBorder="1" applyAlignment="1">
      <alignment horizontal="left" vertical="center"/>
      <protection/>
    </xf>
    <xf numFmtId="0" fontId="8" fillId="32" borderId="34" xfId="54" applyFont="1" applyFill="1" applyBorder="1" applyAlignment="1">
      <alignment horizontal="left" vertical="center"/>
      <protection/>
    </xf>
    <xf numFmtId="0" fontId="8" fillId="0" borderId="35" xfId="54" applyFont="1" applyBorder="1" applyAlignment="1">
      <alignment horizontal="left" vertical="center"/>
      <protection/>
    </xf>
    <xf numFmtId="0" fontId="8" fillId="0" borderId="36" xfId="54" applyFont="1" applyBorder="1" applyAlignment="1">
      <alignment horizontal="left" vertical="center"/>
      <protection/>
    </xf>
    <xf numFmtId="0" fontId="8" fillId="0" borderId="37" xfId="54" applyFont="1" applyBorder="1" applyAlignment="1">
      <alignment horizontal="left" vertical="center"/>
      <protection/>
    </xf>
    <xf numFmtId="0" fontId="4" fillId="0" borderId="30" xfId="54" applyFont="1" applyBorder="1" applyAlignment="1">
      <alignment horizontal="center" vertical="center" wrapText="1"/>
      <protection/>
    </xf>
    <xf numFmtId="0" fontId="4" fillId="0" borderId="31" xfId="54" applyFont="1" applyBorder="1" applyAlignment="1">
      <alignment horizontal="center" vertical="center" wrapText="1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28" xfId="54" applyFont="1" applyBorder="1" applyAlignment="1">
      <alignment horizontal="center" vertical="center" wrapText="1"/>
      <protection/>
    </xf>
    <xf numFmtId="0" fontId="4" fillId="0" borderId="27" xfId="54" applyFont="1" applyBorder="1" applyAlignment="1">
      <alignment horizontal="center" vertical="center" textRotation="90" wrapText="1"/>
      <protection/>
    </xf>
    <xf numFmtId="0" fontId="4" fillId="0" borderId="28" xfId="54" applyFont="1" applyBorder="1" applyAlignment="1">
      <alignment horizontal="center" vertical="center" textRotation="90" wrapText="1"/>
      <protection/>
    </xf>
    <xf numFmtId="0" fontId="4" fillId="0" borderId="30" xfId="52" applyFont="1" applyBorder="1" applyAlignment="1">
      <alignment horizontal="center" vertical="center" wrapText="1"/>
      <protection/>
    </xf>
    <xf numFmtId="0" fontId="4" fillId="0" borderId="31" xfId="52" applyFont="1" applyBorder="1" applyAlignment="1">
      <alignment horizontal="center" vertical="center" wrapText="1"/>
      <protection/>
    </xf>
    <xf numFmtId="1" fontId="8" fillId="0" borderId="14" xfId="54" applyNumberFormat="1" applyFont="1" applyBorder="1" applyAlignment="1">
      <alignment horizontal="center" vertical="center"/>
      <protection/>
    </xf>
    <xf numFmtId="2" fontId="61" fillId="33" borderId="16" xfId="54" applyNumberFormat="1" applyFont="1" applyFill="1" applyBorder="1" applyAlignment="1">
      <alignment horizontal="center" vertical="center"/>
      <protection/>
    </xf>
    <xf numFmtId="0" fontId="61" fillId="0" borderId="11" xfId="54" applyFont="1" applyFill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01092017" xfId="53"/>
    <cellStyle name="Обычный_Шта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9"/>
  <sheetViews>
    <sheetView showZeros="0" view="pageBreakPreview" zoomScale="55" zoomScaleNormal="65" zoomScaleSheetLayoutView="55" zoomScalePageLayoutView="0" workbookViewId="0" topLeftCell="A78">
      <selection activeCell="U127" sqref="U127"/>
    </sheetView>
  </sheetViews>
  <sheetFormatPr defaultColWidth="9.140625" defaultRowHeight="15"/>
  <cols>
    <col min="1" max="1" width="8.8515625" style="2" customWidth="1"/>
    <col min="2" max="2" width="38.57421875" style="2" customWidth="1"/>
    <col min="3" max="3" width="11.7109375" style="2" customWidth="1"/>
    <col min="4" max="4" width="12.421875" style="2" customWidth="1"/>
    <col min="5" max="5" width="17.57421875" style="2" customWidth="1"/>
    <col min="6" max="6" width="6.57421875" style="2" customWidth="1"/>
    <col min="7" max="7" width="0.42578125" style="2" hidden="1" customWidth="1"/>
    <col min="8" max="8" width="15.57421875" style="2" customWidth="1"/>
    <col min="9" max="9" width="6.57421875" style="2" customWidth="1"/>
    <col min="10" max="10" width="0.5625" style="2" hidden="1" customWidth="1"/>
    <col min="11" max="11" width="15.421875" style="2" customWidth="1"/>
    <col min="12" max="12" width="7.8515625" style="2" customWidth="1"/>
    <col min="13" max="13" width="7.421875" style="2" hidden="1" customWidth="1"/>
    <col min="14" max="14" width="16.28125" style="2" customWidth="1"/>
    <col min="15" max="15" width="7.8515625" style="2" customWidth="1"/>
    <col min="16" max="16" width="18.421875" style="2" hidden="1" customWidth="1"/>
    <col min="17" max="17" width="16.140625" style="2" customWidth="1"/>
    <col min="18" max="18" width="1.28515625" style="2" hidden="1" customWidth="1"/>
    <col min="19" max="19" width="17.8515625" style="2" customWidth="1"/>
    <col min="20" max="20" width="23.00390625" style="2" customWidth="1"/>
    <col min="21" max="21" width="29.140625" style="2" customWidth="1"/>
    <col min="22" max="22" width="16.8515625" style="2" bestFit="1" customWidth="1"/>
    <col min="23" max="23" width="9.140625" style="2" customWidth="1"/>
    <col min="24" max="24" width="11.00390625" style="2" bestFit="1" customWidth="1"/>
    <col min="25" max="25" width="9.140625" style="2" customWidth="1"/>
    <col min="26" max="225" width="9.140625" style="14" customWidth="1"/>
    <col min="226" max="16384" width="9.140625" style="2" customWidth="1"/>
  </cols>
  <sheetData>
    <row r="1" spans="1:23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0" t="s">
        <v>0</v>
      </c>
      <c r="P1" s="1"/>
      <c r="S1" s="1"/>
      <c r="V1" s="9" t="s">
        <v>115</v>
      </c>
      <c r="W1" s="2">
        <v>4723</v>
      </c>
    </row>
    <row r="2" spans="1:23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3" t="str">
        <f>CONCATENATE("штат в кількості ",D148," штатних одиниць")</f>
        <v>штат в кількості 255,41 штатних одиниць</v>
      </c>
      <c r="P2" s="44"/>
      <c r="Q2" s="45"/>
      <c r="R2" s="45"/>
      <c r="S2" s="42"/>
      <c r="T2" s="42"/>
      <c r="U2" s="42"/>
      <c r="W2" s="9"/>
    </row>
    <row r="3" spans="1:21" ht="27.75" customHeight="1">
      <c r="A3" s="20" t="s">
        <v>150</v>
      </c>
      <c r="B3" s="1"/>
      <c r="C3" s="1"/>
      <c r="D3" s="1"/>
      <c r="E3" s="1"/>
      <c r="F3" s="1"/>
      <c r="G3" s="4"/>
      <c r="H3" s="4"/>
      <c r="I3" s="4"/>
      <c r="J3" s="4"/>
      <c r="K3" s="4"/>
      <c r="L3" s="4"/>
      <c r="M3" s="4"/>
      <c r="N3" s="4"/>
      <c r="O3" s="43" t="str">
        <f>CONCATENATE("з місячним фондом заробітної плати ",T148," гривень")</f>
        <v>з місячним фондом заробітної плати 1878210,3 гривень</v>
      </c>
      <c r="P3" s="45"/>
      <c r="Q3" s="45"/>
      <c r="R3" s="45"/>
      <c r="S3" s="42"/>
      <c r="T3" s="42"/>
      <c r="U3" s="42"/>
    </row>
    <row r="4" spans="1:21" ht="22.5" customHeight="1">
      <c r="A4" s="107" t="s">
        <v>157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5" t="s">
        <v>152</v>
      </c>
      <c r="P4" s="43"/>
      <c r="Q4" s="45"/>
      <c r="R4" s="45"/>
      <c r="S4" s="42"/>
      <c r="T4" s="42" t="s">
        <v>153</v>
      </c>
      <c r="U4" s="42"/>
    </row>
    <row r="5" spans="2:21" ht="20.25">
      <c r="B5" s="5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43" t="s">
        <v>154</v>
      </c>
      <c r="P5" s="44"/>
      <c r="Q5" s="45"/>
      <c r="R5" s="45"/>
      <c r="S5" s="42"/>
      <c r="T5" s="42"/>
      <c r="U5" s="42"/>
    </row>
    <row r="6" spans="1:21" ht="20.25">
      <c r="A6" s="21" t="s">
        <v>101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"/>
      <c r="N6" s="5"/>
      <c r="O6" s="41"/>
      <c r="P6" s="41"/>
      <c r="Q6" s="42"/>
      <c r="R6" s="42"/>
      <c r="S6" s="42"/>
      <c r="T6" s="41"/>
      <c r="U6" s="42"/>
    </row>
    <row r="7" spans="1:23" ht="24" customHeight="1">
      <c r="A7" s="7" t="s">
        <v>1</v>
      </c>
      <c r="B7" s="1"/>
      <c r="C7" s="1"/>
      <c r="Q7" s="8" t="s">
        <v>2</v>
      </c>
      <c r="R7" s="8"/>
      <c r="S7" s="8"/>
      <c r="T7" s="1"/>
      <c r="V7" s="9" t="s">
        <v>3</v>
      </c>
      <c r="W7" s="2">
        <v>11</v>
      </c>
    </row>
    <row r="8" spans="1:21" ht="27.75" customHeight="1" thickBot="1">
      <c r="A8" s="1" t="s">
        <v>151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3" ht="15" customHeight="1">
      <c r="A9" s="208" t="s">
        <v>4</v>
      </c>
      <c r="B9" s="208" t="s">
        <v>116</v>
      </c>
      <c r="C9" s="210" t="s">
        <v>5</v>
      </c>
      <c r="D9" s="210" t="s">
        <v>6</v>
      </c>
      <c r="E9" s="210" t="s">
        <v>117</v>
      </c>
      <c r="F9" s="212" t="s">
        <v>118</v>
      </c>
      <c r="G9" s="212"/>
      <c r="H9" s="212"/>
      <c r="I9" s="214" t="s">
        <v>120</v>
      </c>
      <c r="J9" s="214"/>
      <c r="K9" s="214"/>
      <c r="L9" s="214" t="s">
        <v>119</v>
      </c>
      <c r="M9" s="214"/>
      <c r="N9" s="214"/>
      <c r="O9" s="214" t="s">
        <v>121</v>
      </c>
      <c r="P9" s="214"/>
      <c r="Q9" s="214"/>
      <c r="R9" s="104"/>
      <c r="S9" s="208" t="s">
        <v>122</v>
      </c>
      <c r="T9" s="208" t="s">
        <v>123</v>
      </c>
      <c r="U9" s="208" t="s">
        <v>124</v>
      </c>
      <c r="W9" s="56" t="str">
        <f aca="true" t="shared" si="0" ref="W9:W79">LEFT(A9,6)</f>
        <v>№ п/п</v>
      </c>
    </row>
    <row r="10" spans="1:23" ht="132" customHeight="1" thickBot="1">
      <c r="A10" s="209"/>
      <c r="B10" s="209"/>
      <c r="C10" s="211"/>
      <c r="D10" s="211"/>
      <c r="E10" s="211"/>
      <c r="F10" s="213"/>
      <c r="G10" s="213"/>
      <c r="H10" s="213"/>
      <c r="I10" s="215"/>
      <c r="J10" s="215"/>
      <c r="K10" s="215"/>
      <c r="L10" s="215"/>
      <c r="M10" s="215"/>
      <c r="N10" s="215"/>
      <c r="O10" s="215"/>
      <c r="P10" s="215"/>
      <c r="Q10" s="215"/>
      <c r="R10" s="105"/>
      <c r="S10" s="209"/>
      <c r="T10" s="209"/>
      <c r="U10" s="209"/>
      <c r="V10" s="1"/>
      <c r="W10" s="56">
        <f t="shared" si="0"/>
      </c>
    </row>
    <row r="11" spans="1:23" ht="23.25" customHeight="1" thickBot="1">
      <c r="A11" s="98"/>
      <c r="B11" s="98"/>
      <c r="C11" s="99"/>
      <c r="D11" s="99"/>
      <c r="E11" s="101" t="s">
        <v>8</v>
      </c>
      <c r="F11" s="100" t="s">
        <v>7</v>
      </c>
      <c r="G11" s="100"/>
      <c r="H11" s="100" t="s">
        <v>8</v>
      </c>
      <c r="I11" s="100" t="s">
        <v>7</v>
      </c>
      <c r="J11" s="100"/>
      <c r="K11" s="100" t="s">
        <v>8</v>
      </c>
      <c r="L11" s="100" t="s">
        <v>7</v>
      </c>
      <c r="M11" s="100"/>
      <c r="N11" s="100" t="s">
        <v>8</v>
      </c>
      <c r="O11" s="100" t="s">
        <v>7</v>
      </c>
      <c r="P11" s="100"/>
      <c r="Q11" s="100" t="s">
        <v>8</v>
      </c>
      <c r="R11" s="100"/>
      <c r="S11" s="101" t="s">
        <v>8</v>
      </c>
      <c r="T11" s="101" t="s">
        <v>8</v>
      </c>
      <c r="U11" s="101" t="s">
        <v>8</v>
      </c>
      <c r="W11" s="56">
        <f t="shared" si="0"/>
      </c>
    </row>
    <row r="12" spans="1:23" ht="27" customHeight="1" thickBot="1">
      <c r="A12" s="97">
        <v>1</v>
      </c>
      <c r="B12" s="97">
        <v>2</v>
      </c>
      <c r="C12" s="97">
        <v>3</v>
      </c>
      <c r="D12" s="97">
        <v>4</v>
      </c>
      <c r="E12" s="97">
        <v>5</v>
      </c>
      <c r="F12" s="97">
        <v>6</v>
      </c>
      <c r="G12" s="97"/>
      <c r="H12" s="97">
        <v>7</v>
      </c>
      <c r="I12" s="97">
        <v>8</v>
      </c>
      <c r="J12" s="97"/>
      <c r="K12" s="97">
        <v>9</v>
      </c>
      <c r="L12" s="97">
        <v>10</v>
      </c>
      <c r="M12" s="97"/>
      <c r="N12" s="97">
        <v>11</v>
      </c>
      <c r="O12" s="97">
        <v>12</v>
      </c>
      <c r="P12" s="97"/>
      <c r="Q12" s="97">
        <v>13</v>
      </c>
      <c r="R12" s="97"/>
      <c r="S12" s="97">
        <v>14</v>
      </c>
      <c r="T12" s="97">
        <v>15</v>
      </c>
      <c r="U12" s="97">
        <v>16</v>
      </c>
      <c r="W12" s="56" t="str">
        <f t="shared" si="0"/>
        <v>1</v>
      </c>
    </row>
    <row r="13" spans="1:23" ht="31.5" customHeight="1" thickBot="1">
      <c r="A13" s="216" t="s">
        <v>9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8"/>
      <c r="W13" s="56" t="str">
        <f t="shared" si="0"/>
        <v>1.Зага</v>
      </c>
    </row>
    <row r="14" spans="1:23" ht="30.75" customHeight="1">
      <c r="A14" s="219" t="s">
        <v>107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1"/>
      <c r="W14" s="56" t="str">
        <f t="shared" si="0"/>
        <v>1.1.Ад</v>
      </c>
    </row>
    <row r="15" spans="1:23" ht="51" customHeight="1">
      <c r="A15" s="30">
        <v>1</v>
      </c>
      <c r="B15" s="22" t="s">
        <v>144</v>
      </c>
      <c r="C15" s="23">
        <v>18</v>
      </c>
      <c r="D15" s="27">
        <v>1</v>
      </c>
      <c r="E15" s="48">
        <v>7421.7</v>
      </c>
      <c r="F15" s="27">
        <v>30</v>
      </c>
      <c r="G15" s="23">
        <f aca="true" t="shared" si="1" ref="G15:G39">H15*$D15</f>
        <v>2226.51</v>
      </c>
      <c r="H15" s="48">
        <f>E15*F15*D15/100</f>
        <v>2226.51</v>
      </c>
      <c r="I15" s="23">
        <v>15</v>
      </c>
      <c r="J15" s="23">
        <f aca="true" t="shared" si="2" ref="J15:J39">K15*$D15</f>
        <v>1113.26</v>
      </c>
      <c r="K15" s="48">
        <f aca="true" t="shared" si="3" ref="K15:K22">ROUND(E15*I15/100,2)</f>
        <v>1113.26</v>
      </c>
      <c r="L15" s="23">
        <v>15</v>
      </c>
      <c r="M15" s="23">
        <f>N15*D15</f>
        <v>1113.26</v>
      </c>
      <c r="N15" s="48">
        <f>ROUND(E15*L15/100,2)</f>
        <v>1113.26</v>
      </c>
      <c r="O15" s="23">
        <v>100</v>
      </c>
      <c r="P15" s="23">
        <f aca="true" t="shared" si="4" ref="P15:P39">Q15*D15</f>
        <v>7421.7</v>
      </c>
      <c r="Q15" s="48">
        <f aca="true" t="shared" si="5" ref="Q15:Q22">ROUND(E15*O15/100,2)</f>
        <v>7421.7</v>
      </c>
      <c r="R15" s="48">
        <f>S15*D15</f>
        <v>0</v>
      </c>
      <c r="S15" s="48">
        <f aca="true" t="shared" si="6" ref="S15:S39">MAX($W$1-ROUND(ROUND((E15+H15+N15+K15+Q15)*D15,2)/D15,2),0)</f>
        <v>0</v>
      </c>
      <c r="T15" s="48">
        <f aca="true" t="shared" si="7" ref="T15:T39">ROUND((E15+H15+N15+K15+Q15)*D15,2)</f>
        <v>19296.43</v>
      </c>
      <c r="U15" s="49">
        <f aca="true" t="shared" si="8" ref="U15:U39">ROUND(SUM(T15*$W$7),2)</f>
        <v>212260.73</v>
      </c>
      <c r="V15" s="10">
        <f aca="true" t="shared" si="9" ref="V15:V39">IF(D15&gt;0,IF((U15/D15-Q15)&gt;$W$1,0,($W$1-(U15/D15-Q15))*D15),0)</f>
        <v>0</v>
      </c>
      <c r="W15" s="56" t="str">
        <f t="shared" si="0"/>
        <v>1</v>
      </c>
    </row>
    <row r="16" spans="1:23" ht="57.75" customHeight="1">
      <c r="A16" s="30">
        <v>2</v>
      </c>
      <c r="B16" s="22" t="s">
        <v>145</v>
      </c>
      <c r="C16" s="32">
        <v>0.95</v>
      </c>
      <c r="D16" s="27">
        <v>1</v>
      </c>
      <c r="E16" s="48">
        <f>E15*0.95</f>
        <v>7050.615</v>
      </c>
      <c r="F16" s="23">
        <v>30</v>
      </c>
      <c r="G16" s="23">
        <f t="shared" si="1"/>
        <v>2115.1845</v>
      </c>
      <c r="H16" s="48">
        <f>E16*F16*D16/100</f>
        <v>2115.1845</v>
      </c>
      <c r="I16" s="23">
        <v>15</v>
      </c>
      <c r="J16" s="23">
        <f t="shared" si="2"/>
        <v>1057.59</v>
      </c>
      <c r="K16" s="48">
        <f t="shared" si="3"/>
        <v>1057.59</v>
      </c>
      <c r="L16" s="23">
        <v>15</v>
      </c>
      <c r="M16" s="23">
        <f aca="true" t="shared" si="10" ref="M16:M39">N16*D16</f>
        <v>1057.59</v>
      </c>
      <c r="N16" s="48">
        <f>ROUND(E16*L16/100,2)</f>
        <v>1057.59</v>
      </c>
      <c r="O16" s="23">
        <v>25</v>
      </c>
      <c r="P16" s="23">
        <f t="shared" si="4"/>
        <v>1762.65</v>
      </c>
      <c r="Q16" s="48">
        <f t="shared" si="5"/>
        <v>1762.65</v>
      </c>
      <c r="R16" s="48">
        <f aca="true" t="shared" si="11" ref="R16:R39">S16*D16</f>
        <v>0</v>
      </c>
      <c r="S16" s="48">
        <f t="shared" si="6"/>
        <v>0</v>
      </c>
      <c r="T16" s="48">
        <f t="shared" si="7"/>
        <v>13043.63</v>
      </c>
      <c r="U16" s="49">
        <f t="shared" si="8"/>
        <v>143479.93</v>
      </c>
      <c r="V16" s="10">
        <f t="shared" si="9"/>
        <v>0</v>
      </c>
      <c r="W16" s="56" t="str">
        <f t="shared" si="0"/>
        <v>2</v>
      </c>
    </row>
    <row r="17" spans="1:23" ht="59.25" customHeight="1">
      <c r="A17" s="30">
        <v>3</v>
      </c>
      <c r="B17" s="22" t="s">
        <v>155</v>
      </c>
      <c r="C17" s="32">
        <v>0.9</v>
      </c>
      <c r="D17" s="27">
        <v>1</v>
      </c>
      <c r="E17" s="48">
        <f>E15*C17</f>
        <v>6679.53</v>
      </c>
      <c r="F17" s="23">
        <v>20</v>
      </c>
      <c r="G17" s="23">
        <f t="shared" si="1"/>
        <v>1335.906</v>
      </c>
      <c r="H17" s="48">
        <f>E17*F17*D17/100</f>
        <v>1335.906</v>
      </c>
      <c r="I17" s="23">
        <v>15</v>
      </c>
      <c r="J17" s="23">
        <f t="shared" si="2"/>
        <v>1001.93</v>
      </c>
      <c r="K17" s="48">
        <f t="shared" si="3"/>
        <v>1001.93</v>
      </c>
      <c r="L17" s="23">
        <v>15</v>
      </c>
      <c r="M17" s="23">
        <f t="shared" si="10"/>
        <v>1001.93</v>
      </c>
      <c r="N17" s="48">
        <f>ROUND(E17*L17/100,2)</f>
        <v>1001.93</v>
      </c>
      <c r="O17" s="23">
        <v>10</v>
      </c>
      <c r="P17" s="23">
        <f t="shared" si="4"/>
        <v>667.95</v>
      </c>
      <c r="Q17" s="48">
        <f t="shared" si="5"/>
        <v>667.95</v>
      </c>
      <c r="R17" s="48">
        <f t="shared" si="11"/>
        <v>0</v>
      </c>
      <c r="S17" s="48">
        <f t="shared" si="6"/>
        <v>0</v>
      </c>
      <c r="T17" s="48">
        <f t="shared" si="7"/>
        <v>10687.25</v>
      </c>
      <c r="U17" s="49">
        <f t="shared" si="8"/>
        <v>117559.75</v>
      </c>
      <c r="V17" s="10">
        <f t="shared" si="9"/>
        <v>0</v>
      </c>
      <c r="W17" s="56" t="str">
        <f t="shared" si="0"/>
        <v>3</v>
      </c>
    </row>
    <row r="18" spans="1:23" ht="74.25" customHeight="1">
      <c r="A18" s="30">
        <v>4</v>
      </c>
      <c r="B18" s="22" t="s">
        <v>156</v>
      </c>
      <c r="C18" s="32">
        <v>0.9</v>
      </c>
      <c r="D18" s="24">
        <v>0.5</v>
      </c>
      <c r="E18" s="48">
        <f>E15*C18</f>
        <v>6679.53</v>
      </c>
      <c r="F18" s="23">
        <v>10</v>
      </c>
      <c r="G18" s="23">
        <f t="shared" si="1"/>
        <v>166.98825</v>
      </c>
      <c r="H18" s="48">
        <f>E18*F18*D18/100</f>
        <v>333.9765</v>
      </c>
      <c r="I18" s="23">
        <v>15</v>
      </c>
      <c r="J18" s="23">
        <f t="shared" si="2"/>
        <v>500.965</v>
      </c>
      <c r="K18" s="48">
        <f t="shared" si="3"/>
        <v>1001.93</v>
      </c>
      <c r="L18" s="23">
        <v>15</v>
      </c>
      <c r="M18" s="23">
        <f t="shared" si="10"/>
        <v>500.965</v>
      </c>
      <c r="N18" s="48">
        <f>ROUND(E18*L18/100,2)</f>
        <v>1001.93</v>
      </c>
      <c r="O18" s="23"/>
      <c r="P18" s="23">
        <f t="shared" si="4"/>
        <v>0</v>
      </c>
      <c r="Q18" s="48">
        <f t="shared" si="5"/>
        <v>0</v>
      </c>
      <c r="R18" s="48">
        <f t="shared" si="11"/>
        <v>0</v>
      </c>
      <c r="S18" s="48">
        <f t="shared" si="6"/>
        <v>0</v>
      </c>
      <c r="T18" s="48">
        <f t="shared" si="7"/>
        <v>4508.68</v>
      </c>
      <c r="U18" s="49">
        <f t="shared" si="8"/>
        <v>49595.48</v>
      </c>
      <c r="V18" s="10">
        <f t="shared" si="9"/>
        <v>0</v>
      </c>
      <c r="W18" s="56" t="str">
        <f t="shared" si="0"/>
        <v>4</v>
      </c>
    </row>
    <row r="19" spans="1:23" ht="45.75" customHeight="1">
      <c r="A19" s="30">
        <v>5</v>
      </c>
      <c r="B19" s="22" t="s">
        <v>70</v>
      </c>
      <c r="C19" s="23">
        <v>13</v>
      </c>
      <c r="D19" s="27">
        <v>1</v>
      </c>
      <c r="E19" s="48">
        <v>5249.2</v>
      </c>
      <c r="F19" s="23">
        <v>30</v>
      </c>
      <c r="G19" s="23">
        <f t="shared" si="1"/>
        <v>1574.76</v>
      </c>
      <c r="H19" s="48">
        <f aca="true" t="shared" si="12" ref="H19:H39">E19*F19/100</f>
        <v>1574.76</v>
      </c>
      <c r="I19" s="23">
        <v>15</v>
      </c>
      <c r="J19" s="23">
        <f t="shared" si="2"/>
        <v>787.38</v>
      </c>
      <c r="K19" s="48">
        <f t="shared" si="3"/>
        <v>787.38</v>
      </c>
      <c r="L19" s="23">
        <v>0</v>
      </c>
      <c r="M19" s="23">
        <f t="shared" si="10"/>
        <v>0</v>
      </c>
      <c r="N19" s="48">
        <f>ROUND(E19*L19/100*D19,2)</f>
        <v>0</v>
      </c>
      <c r="O19" s="23">
        <v>0</v>
      </c>
      <c r="P19" s="23">
        <f t="shared" si="4"/>
        <v>0</v>
      </c>
      <c r="Q19" s="48">
        <f t="shared" si="5"/>
        <v>0</v>
      </c>
      <c r="R19" s="48">
        <f t="shared" si="11"/>
        <v>0</v>
      </c>
      <c r="S19" s="48">
        <f t="shared" si="6"/>
        <v>0</v>
      </c>
      <c r="T19" s="48">
        <f t="shared" si="7"/>
        <v>7611.34</v>
      </c>
      <c r="U19" s="49">
        <f>ROUND(SUM(T19*$W$7),2)</f>
        <v>83724.74</v>
      </c>
      <c r="V19" s="10">
        <f t="shared" si="9"/>
        <v>0</v>
      </c>
      <c r="W19" s="56" t="str">
        <f t="shared" si="0"/>
        <v>5</v>
      </c>
    </row>
    <row r="20" spans="1:23" ht="57" customHeight="1">
      <c r="A20" s="30"/>
      <c r="B20" s="22" t="s">
        <v>71</v>
      </c>
      <c r="C20" s="23">
        <v>13</v>
      </c>
      <c r="D20" s="27">
        <v>1</v>
      </c>
      <c r="E20" s="48">
        <v>5249.2</v>
      </c>
      <c r="F20" s="23">
        <v>30</v>
      </c>
      <c r="G20" s="23">
        <f t="shared" si="1"/>
        <v>1574.76</v>
      </c>
      <c r="H20" s="48">
        <f t="shared" si="12"/>
        <v>1574.76</v>
      </c>
      <c r="I20" s="23">
        <v>15</v>
      </c>
      <c r="J20" s="23">
        <f t="shared" si="2"/>
        <v>787.38</v>
      </c>
      <c r="K20" s="48">
        <f t="shared" si="3"/>
        <v>787.38</v>
      </c>
      <c r="L20" s="23"/>
      <c r="M20" s="23">
        <f t="shared" si="10"/>
        <v>0</v>
      </c>
      <c r="N20" s="48"/>
      <c r="O20" s="23"/>
      <c r="P20" s="23">
        <f t="shared" si="4"/>
        <v>0</v>
      </c>
      <c r="Q20" s="48">
        <f t="shared" si="5"/>
        <v>0</v>
      </c>
      <c r="R20" s="48">
        <f t="shared" si="11"/>
        <v>0</v>
      </c>
      <c r="S20" s="48">
        <f t="shared" si="6"/>
        <v>0</v>
      </c>
      <c r="T20" s="48">
        <f t="shared" si="7"/>
        <v>7611.34</v>
      </c>
      <c r="U20" s="49">
        <f>ROUND(SUM(T20*$W$7),2)</f>
        <v>83724.74</v>
      </c>
      <c r="V20" s="10">
        <f t="shared" si="9"/>
        <v>0</v>
      </c>
      <c r="W20" s="56">
        <f t="shared" si="0"/>
      </c>
    </row>
    <row r="21" spans="1:23" ht="63" customHeight="1">
      <c r="A21" s="30"/>
      <c r="B21" s="22" t="s">
        <v>146</v>
      </c>
      <c r="C21" s="23">
        <v>13</v>
      </c>
      <c r="D21" s="27">
        <v>1</v>
      </c>
      <c r="E21" s="48">
        <v>5249.2</v>
      </c>
      <c r="F21" s="23">
        <v>20</v>
      </c>
      <c r="G21" s="23">
        <f t="shared" si="1"/>
        <v>1049.84</v>
      </c>
      <c r="H21" s="48">
        <f t="shared" si="12"/>
        <v>1049.84</v>
      </c>
      <c r="I21" s="23">
        <v>15</v>
      </c>
      <c r="J21" s="23">
        <f t="shared" si="2"/>
        <v>787.38</v>
      </c>
      <c r="K21" s="48">
        <f t="shared" si="3"/>
        <v>787.38</v>
      </c>
      <c r="L21" s="23"/>
      <c r="M21" s="23">
        <f t="shared" si="10"/>
        <v>0</v>
      </c>
      <c r="N21" s="48"/>
      <c r="O21" s="23">
        <v>15</v>
      </c>
      <c r="P21" s="23">
        <f t="shared" si="4"/>
        <v>787.38</v>
      </c>
      <c r="Q21" s="48">
        <f t="shared" si="5"/>
        <v>787.38</v>
      </c>
      <c r="R21" s="48">
        <f t="shared" si="11"/>
        <v>0</v>
      </c>
      <c r="S21" s="48">
        <f t="shared" si="6"/>
        <v>0</v>
      </c>
      <c r="T21" s="48">
        <f t="shared" si="7"/>
        <v>7873.8</v>
      </c>
      <c r="U21" s="49">
        <f>ROUND(SUM(T21*$W$7),2)</f>
        <v>86611.8</v>
      </c>
      <c r="V21" s="10">
        <f t="shared" si="9"/>
        <v>0</v>
      </c>
      <c r="W21" s="56">
        <f t="shared" si="0"/>
      </c>
    </row>
    <row r="22" spans="1:23" ht="81.75" customHeight="1">
      <c r="A22" s="30"/>
      <c r="B22" s="22" t="s">
        <v>147</v>
      </c>
      <c r="C22" s="23">
        <v>13</v>
      </c>
      <c r="D22" s="27">
        <v>1</v>
      </c>
      <c r="E22" s="48">
        <v>5249.2</v>
      </c>
      <c r="F22" s="23">
        <v>30</v>
      </c>
      <c r="G22" s="23">
        <f t="shared" si="1"/>
        <v>1574.76</v>
      </c>
      <c r="H22" s="48">
        <f t="shared" si="12"/>
        <v>1574.76</v>
      </c>
      <c r="I22" s="23">
        <v>15</v>
      </c>
      <c r="J22" s="23">
        <f t="shared" si="2"/>
        <v>787.38</v>
      </c>
      <c r="K22" s="48">
        <f t="shared" si="3"/>
        <v>787.38</v>
      </c>
      <c r="L22" s="23"/>
      <c r="M22" s="23">
        <f t="shared" si="10"/>
        <v>0</v>
      </c>
      <c r="N22" s="48"/>
      <c r="O22" s="23">
        <v>40</v>
      </c>
      <c r="P22" s="23">
        <f t="shared" si="4"/>
        <v>2099.68</v>
      </c>
      <c r="Q22" s="48">
        <f t="shared" si="5"/>
        <v>2099.68</v>
      </c>
      <c r="R22" s="48">
        <f t="shared" si="11"/>
        <v>0</v>
      </c>
      <c r="S22" s="48">
        <f t="shared" si="6"/>
        <v>0</v>
      </c>
      <c r="T22" s="48">
        <f t="shared" si="7"/>
        <v>9711.02</v>
      </c>
      <c r="U22" s="49">
        <f>ROUND(SUM(T22*$W$7),2)</f>
        <v>106821.22</v>
      </c>
      <c r="V22" s="10">
        <f t="shared" si="9"/>
        <v>0</v>
      </c>
      <c r="W22" s="56">
        <f t="shared" si="0"/>
      </c>
    </row>
    <row r="23" spans="1:23" ht="55.5" customHeight="1">
      <c r="A23" s="30">
        <v>6</v>
      </c>
      <c r="B23" s="22" t="s">
        <v>72</v>
      </c>
      <c r="C23" s="23">
        <v>13</v>
      </c>
      <c r="D23" s="27">
        <v>1</v>
      </c>
      <c r="E23" s="48">
        <v>5249.2</v>
      </c>
      <c r="F23" s="23">
        <v>30</v>
      </c>
      <c r="G23" s="23">
        <f t="shared" si="1"/>
        <v>1574.76</v>
      </c>
      <c r="H23" s="48">
        <f t="shared" si="12"/>
        <v>1574.76</v>
      </c>
      <c r="I23" s="23">
        <v>15</v>
      </c>
      <c r="J23" s="23">
        <f t="shared" si="2"/>
        <v>787.38</v>
      </c>
      <c r="K23" s="48">
        <f>ROUND(E23*I23/100*D23,2)</f>
        <v>787.38</v>
      </c>
      <c r="L23" s="23"/>
      <c r="M23" s="23">
        <f t="shared" si="10"/>
        <v>0</v>
      </c>
      <c r="N23" s="48">
        <f>ROUND(E23*L23/100,2)</f>
        <v>0</v>
      </c>
      <c r="O23" s="23">
        <v>0</v>
      </c>
      <c r="P23" s="23">
        <f t="shared" si="4"/>
        <v>0</v>
      </c>
      <c r="Q23" s="48">
        <f>E23*O23/100</f>
        <v>0</v>
      </c>
      <c r="R23" s="48">
        <f t="shared" si="11"/>
        <v>0</v>
      </c>
      <c r="S23" s="48">
        <f t="shared" si="6"/>
        <v>0</v>
      </c>
      <c r="T23" s="48">
        <f t="shared" si="7"/>
        <v>7611.34</v>
      </c>
      <c r="U23" s="49">
        <f t="shared" si="8"/>
        <v>83724.74</v>
      </c>
      <c r="V23" s="10">
        <f t="shared" si="9"/>
        <v>0</v>
      </c>
      <c r="W23" s="56" t="str">
        <f t="shared" si="0"/>
        <v>6</v>
      </c>
    </row>
    <row r="24" spans="1:23" ht="35.25" customHeight="1">
      <c r="A24" s="30">
        <v>7</v>
      </c>
      <c r="B24" s="22" t="s">
        <v>11</v>
      </c>
      <c r="C24" s="23">
        <v>13</v>
      </c>
      <c r="D24" s="27">
        <v>1</v>
      </c>
      <c r="E24" s="48">
        <v>5249.2</v>
      </c>
      <c r="F24" s="23">
        <v>20</v>
      </c>
      <c r="G24" s="23">
        <f t="shared" si="1"/>
        <v>1049.84</v>
      </c>
      <c r="H24" s="48">
        <f t="shared" si="12"/>
        <v>1049.84</v>
      </c>
      <c r="I24" s="23">
        <v>15</v>
      </c>
      <c r="J24" s="23">
        <f t="shared" si="2"/>
        <v>787.38</v>
      </c>
      <c r="K24" s="48">
        <f>ROUND(E24*I24/100*D24,2)</f>
        <v>787.38</v>
      </c>
      <c r="L24" s="23"/>
      <c r="M24" s="23">
        <f t="shared" si="10"/>
        <v>0</v>
      </c>
      <c r="N24" s="48">
        <f>ROUND(E24*L24/100,2)</f>
        <v>0</v>
      </c>
      <c r="O24" s="23">
        <v>0</v>
      </c>
      <c r="P24" s="23">
        <f t="shared" si="4"/>
        <v>0</v>
      </c>
      <c r="Q24" s="48">
        <f>E24*O24/100</f>
        <v>0</v>
      </c>
      <c r="R24" s="48">
        <f t="shared" si="11"/>
        <v>0</v>
      </c>
      <c r="S24" s="48">
        <f t="shared" si="6"/>
        <v>0</v>
      </c>
      <c r="T24" s="48">
        <f t="shared" si="7"/>
        <v>7086.42</v>
      </c>
      <c r="U24" s="49">
        <f t="shared" si="8"/>
        <v>77950.62</v>
      </c>
      <c r="V24" s="10">
        <f t="shared" si="9"/>
        <v>0</v>
      </c>
      <c r="W24" s="56" t="str">
        <f t="shared" si="0"/>
        <v>7</v>
      </c>
    </row>
    <row r="25" spans="1:23" ht="30.75" customHeight="1">
      <c r="A25" s="30">
        <v>8</v>
      </c>
      <c r="B25" s="22" t="s">
        <v>12</v>
      </c>
      <c r="C25" s="23">
        <v>13</v>
      </c>
      <c r="D25" s="27">
        <v>1</v>
      </c>
      <c r="E25" s="48">
        <v>5249.2</v>
      </c>
      <c r="F25" s="23">
        <v>20</v>
      </c>
      <c r="G25" s="23">
        <f t="shared" si="1"/>
        <v>1049.84</v>
      </c>
      <c r="H25" s="48">
        <f t="shared" si="12"/>
        <v>1049.84</v>
      </c>
      <c r="I25" s="23">
        <v>15</v>
      </c>
      <c r="J25" s="23">
        <f t="shared" si="2"/>
        <v>787.38</v>
      </c>
      <c r="K25" s="48">
        <f>ROUND(E25*I25/100*D25,2)</f>
        <v>787.38</v>
      </c>
      <c r="L25" s="23"/>
      <c r="M25" s="23">
        <f t="shared" si="10"/>
        <v>0</v>
      </c>
      <c r="N25" s="48"/>
      <c r="O25" s="23"/>
      <c r="P25" s="23">
        <f t="shared" si="4"/>
        <v>0</v>
      </c>
      <c r="Q25" s="48"/>
      <c r="R25" s="48">
        <f t="shared" si="11"/>
        <v>0</v>
      </c>
      <c r="S25" s="48">
        <f t="shared" si="6"/>
        <v>0</v>
      </c>
      <c r="T25" s="48">
        <f t="shared" si="7"/>
        <v>7086.42</v>
      </c>
      <c r="U25" s="49">
        <f t="shared" si="8"/>
        <v>77950.62</v>
      </c>
      <c r="V25" s="10">
        <f t="shared" si="9"/>
        <v>0</v>
      </c>
      <c r="W25" s="56" t="str">
        <f t="shared" si="0"/>
        <v>8</v>
      </c>
    </row>
    <row r="26" spans="1:23" ht="28.5" customHeight="1">
      <c r="A26" s="30"/>
      <c r="B26" s="22" t="s">
        <v>12</v>
      </c>
      <c r="C26" s="23">
        <v>14</v>
      </c>
      <c r="D26" s="27">
        <v>1</v>
      </c>
      <c r="E26" s="48">
        <v>5595.7</v>
      </c>
      <c r="F26" s="23">
        <v>30</v>
      </c>
      <c r="G26" s="23">
        <f t="shared" si="1"/>
        <v>1678.71</v>
      </c>
      <c r="H26" s="48">
        <f t="shared" si="12"/>
        <v>1678.71</v>
      </c>
      <c r="I26" s="23">
        <v>15</v>
      </c>
      <c r="J26" s="23">
        <f t="shared" si="2"/>
        <v>839.36</v>
      </c>
      <c r="K26" s="48">
        <f>ROUND(E26*I26/100*D26,2)</f>
        <v>839.36</v>
      </c>
      <c r="L26" s="23"/>
      <c r="M26" s="23">
        <f t="shared" si="10"/>
        <v>0</v>
      </c>
      <c r="N26" s="48"/>
      <c r="O26" s="23"/>
      <c r="P26" s="23">
        <f t="shared" si="4"/>
        <v>0</v>
      </c>
      <c r="Q26" s="48"/>
      <c r="R26" s="48">
        <f t="shared" si="11"/>
        <v>0</v>
      </c>
      <c r="S26" s="48">
        <f t="shared" si="6"/>
        <v>0</v>
      </c>
      <c r="T26" s="48">
        <f t="shared" si="7"/>
        <v>8113.77</v>
      </c>
      <c r="U26" s="49">
        <f t="shared" si="8"/>
        <v>89251.47</v>
      </c>
      <c r="V26" s="10">
        <f t="shared" si="9"/>
        <v>0</v>
      </c>
      <c r="W26" s="56">
        <f t="shared" si="0"/>
      </c>
    </row>
    <row r="27" spans="1:23" ht="46.5" customHeight="1">
      <c r="A27" s="30">
        <v>9</v>
      </c>
      <c r="B27" s="22" t="s">
        <v>148</v>
      </c>
      <c r="C27" s="23">
        <v>13</v>
      </c>
      <c r="D27" s="27">
        <v>1</v>
      </c>
      <c r="E27" s="48">
        <v>5249.2</v>
      </c>
      <c r="F27" s="23">
        <v>10</v>
      </c>
      <c r="G27" s="23">
        <f t="shared" si="1"/>
        <v>524.92</v>
      </c>
      <c r="H27" s="48">
        <f t="shared" si="12"/>
        <v>524.92</v>
      </c>
      <c r="I27" s="23">
        <v>15</v>
      </c>
      <c r="J27" s="23">
        <f t="shared" si="2"/>
        <v>787.38</v>
      </c>
      <c r="K27" s="48">
        <f aca="true" t="shared" si="13" ref="K27:K38">ROUND(E27*I27/100,2)</f>
        <v>787.38</v>
      </c>
      <c r="L27" s="23"/>
      <c r="M27" s="23">
        <f t="shared" si="10"/>
        <v>0</v>
      </c>
      <c r="N27" s="48">
        <f>ROUND(E27*L27/100*D27,2)</f>
        <v>0</v>
      </c>
      <c r="O27" s="23">
        <v>15</v>
      </c>
      <c r="P27" s="23">
        <f t="shared" si="4"/>
        <v>787.38</v>
      </c>
      <c r="Q27" s="71">
        <f>E27*O27/100</f>
        <v>787.38</v>
      </c>
      <c r="R27" s="48">
        <f t="shared" si="11"/>
        <v>0</v>
      </c>
      <c r="S27" s="48">
        <f t="shared" si="6"/>
        <v>0</v>
      </c>
      <c r="T27" s="48">
        <f t="shared" si="7"/>
        <v>7348.88</v>
      </c>
      <c r="U27" s="49">
        <f t="shared" si="8"/>
        <v>80837.68</v>
      </c>
      <c r="V27" s="10">
        <f t="shared" si="9"/>
        <v>0</v>
      </c>
      <c r="W27" s="56" t="str">
        <f t="shared" si="0"/>
        <v>9</v>
      </c>
    </row>
    <row r="28" spans="1:23" ht="52.5" customHeight="1">
      <c r="A28" s="30"/>
      <c r="B28" s="22" t="s">
        <v>51</v>
      </c>
      <c r="C28" s="23">
        <v>13</v>
      </c>
      <c r="D28" s="27">
        <v>1</v>
      </c>
      <c r="E28" s="48">
        <v>5249.2</v>
      </c>
      <c r="F28" s="23">
        <v>10</v>
      </c>
      <c r="G28" s="23">
        <f>H28*$D28</f>
        <v>524.92</v>
      </c>
      <c r="H28" s="48">
        <f>E28*F28/100</f>
        <v>524.92</v>
      </c>
      <c r="I28" s="23">
        <v>15</v>
      </c>
      <c r="J28" s="23">
        <f t="shared" si="2"/>
        <v>787.38</v>
      </c>
      <c r="K28" s="48">
        <f t="shared" si="13"/>
        <v>787.38</v>
      </c>
      <c r="L28" s="23"/>
      <c r="M28" s="23">
        <f>N28*D28</f>
        <v>0</v>
      </c>
      <c r="N28" s="48">
        <f>ROUND(E28*L28/100*D28,2)</f>
        <v>0</v>
      </c>
      <c r="O28" s="23"/>
      <c r="P28" s="23">
        <f t="shared" si="4"/>
        <v>0</v>
      </c>
      <c r="Q28" s="48"/>
      <c r="R28" s="48">
        <f t="shared" si="11"/>
        <v>0</v>
      </c>
      <c r="S28" s="48">
        <f t="shared" si="6"/>
        <v>0</v>
      </c>
      <c r="T28" s="48">
        <f t="shared" si="7"/>
        <v>6561.5</v>
      </c>
      <c r="U28" s="49">
        <f t="shared" si="8"/>
        <v>72176.5</v>
      </c>
      <c r="V28" s="10">
        <f t="shared" si="9"/>
        <v>0</v>
      </c>
      <c r="W28" s="56">
        <f>LEFT(A28,6)</f>
      </c>
    </row>
    <row r="29" spans="1:23" ht="44.25" customHeight="1">
      <c r="A29" s="30"/>
      <c r="B29" s="22" t="s">
        <v>51</v>
      </c>
      <c r="C29" s="23">
        <v>13</v>
      </c>
      <c r="D29" s="27">
        <v>4</v>
      </c>
      <c r="E29" s="48">
        <v>5249.2</v>
      </c>
      <c r="F29" s="23">
        <v>30</v>
      </c>
      <c r="G29" s="23">
        <f t="shared" si="1"/>
        <v>6299.04</v>
      </c>
      <c r="H29" s="48">
        <f t="shared" si="12"/>
        <v>1574.76</v>
      </c>
      <c r="I29" s="23">
        <v>15</v>
      </c>
      <c r="J29" s="23">
        <f t="shared" si="2"/>
        <v>3149.52</v>
      </c>
      <c r="K29" s="48">
        <f t="shared" si="13"/>
        <v>787.38</v>
      </c>
      <c r="L29" s="23"/>
      <c r="M29" s="23">
        <f t="shared" si="10"/>
        <v>0</v>
      </c>
      <c r="N29" s="48"/>
      <c r="O29" s="23"/>
      <c r="P29" s="23">
        <f t="shared" si="4"/>
        <v>0</v>
      </c>
      <c r="Q29" s="48"/>
      <c r="R29" s="48">
        <f t="shared" si="11"/>
        <v>0</v>
      </c>
      <c r="S29" s="48">
        <f t="shared" si="6"/>
        <v>0</v>
      </c>
      <c r="T29" s="48">
        <f t="shared" si="7"/>
        <v>30445.36</v>
      </c>
      <c r="U29" s="49">
        <f t="shared" si="8"/>
        <v>334898.96</v>
      </c>
      <c r="V29" s="10">
        <f t="shared" si="9"/>
        <v>0</v>
      </c>
      <c r="W29" s="56">
        <f t="shared" si="0"/>
      </c>
    </row>
    <row r="30" spans="1:23" ht="47.25" customHeight="1">
      <c r="A30" s="30"/>
      <c r="B30" s="22" t="s">
        <v>51</v>
      </c>
      <c r="C30" s="23">
        <v>13</v>
      </c>
      <c r="D30" s="27">
        <v>4</v>
      </c>
      <c r="E30" s="48">
        <v>5249.2</v>
      </c>
      <c r="F30" s="23">
        <v>20</v>
      </c>
      <c r="G30" s="23">
        <f t="shared" si="1"/>
        <v>4199.36</v>
      </c>
      <c r="H30" s="48">
        <f t="shared" si="12"/>
        <v>1049.84</v>
      </c>
      <c r="I30" s="23">
        <v>15</v>
      </c>
      <c r="J30" s="23">
        <f t="shared" si="2"/>
        <v>3149.52</v>
      </c>
      <c r="K30" s="48">
        <f t="shared" si="13"/>
        <v>787.38</v>
      </c>
      <c r="L30" s="23"/>
      <c r="M30" s="23">
        <f t="shared" si="10"/>
        <v>0</v>
      </c>
      <c r="N30" s="48"/>
      <c r="O30" s="23"/>
      <c r="P30" s="23">
        <f t="shared" si="4"/>
        <v>0</v>
      </c>
      <c r="Q30" s="48"/>
      <c r="R30" s="48">
        <f t="shared" si="11"/>
        <v>0</v>
      </c>
      <c r="S30" s="48">
        <f t="shared" si="6"/>
        <v>0</v>
      </c>
      <c r="T30" s="48">
        <f t="shared" si="7"/>
        <v>28345.68</v>
      </c>
      <c r="U30" s="49">
        <f t="shared" si="8"/>
        <v>311802.48</v>
      </c>
      <c r="V30" s="10">
        <f t="shared" si="9"/>
        <v>0</v>
      </c>
      <c r="W30" s="56">
        <f t="shared" si="0"/>
      </c>
    </row>
    <row r="31" spans="1:23" ht="47.25" customHeight="1">
      <c r="A31" s="30">
        <v>10</v>
      </c>
      <c r="B31" s="22" t="s">
        <v>73</v>
      </c>
      <c r="C31" s="23">
        <v>13</v>
      </c>
      <c r="D31" s="27">
        <v>1</v>
      </c>
      <c r="E31" s="48">
        <v>5249.2</v>
      </c>
      <c r="F31" s="23">
        <v>10</v>
      </c>
      <c r="G31" s="23">
        <f t="shared" si="1"/>
        <v>524.92</v>
      </c>
      <c r="H31" s="48">
        <f t="shared" si="12"/>
        <v>524.92</v>
      </c>
      <c r="I31" s="23">
        <v>15</v>
      </c>
      <c r="J31" s="23">
        <f t="shared" si="2"/>
        <v>787.38</v>
      </c>
      <c r="K31" s="48">
        <f t="shared" si="13"/>
        <v>787.38</v>
      </c>
      <c r="L31" s="23"/>
      <c r="M31" s="23">
        <f t="shared" si="10"/>
        <v>0</v>
      </c>
      <c r="N31" s="48"/>
      <c r="O31" s="23"/>
      <c r="P31" s="23">
        <f t="shared" si="4"/>
        <v>0</v>
      </c>
      <c r="Q31" s="48"/>
      <c r="R31" s="48">
        <f t="shared" si="11"/>
        <v>0</v>
      </c>
      <c r="S31" s="48">
        <f t="shared" si="6"/>
        <v>0</v>
      </c>
      <c r="T31" s="48">
        <f t="shared" si="7"/>
        <v>6561.5</v>
      </c>
      <c r="U31" s="49">
        <f t="shared" si="8"/>
        <v>72176.5</v>
      </c>
      <c r="V31" s="10">
        <f t="shared" si="9"/>
        <v>0</v>
      </c>
      <c r="W31" s="56" t="str">
        <f t="shared" si="0"/>
        <v>10</v>
      </c>
    </row>
    <row r="32" spans="1:23" ht="47.25" customHeight="1">
      <c r="A32" s="30">
        <v>11</v>
      </c>
      <c r="B32" s="22" t="s">
        <v>74</v>
      </c>
      <c r="C32" s="23">
        <v>13</v>
      </c>
      <c r="D32" s="27">
        <v>1</v>
      </c>
      <c r="E32" s="48">
        <v>5249.2</v>
      </c>
      <c r="F32" s="23">
        <v>20</v>
      </c>
      <c r="G32" s="23">
        <f t="shared" si="1"/>
        <v>1049.84</v>
      </c>
      <c r="H32" s="48">
        <f t="shared" si="12"/>
        <v>1049.84</v>
      </c>
      <c r="I32" s="23">
        <v>15</v>
      </c>
      <c r="J32" s="23">
        <f t="shared" si="2"/>
        <v>787.38</v>
      </c>
      <c r="K32" s="48">
        <f t="shared" si="13"/>
        <v>787.38</v>
      </c>
      <c r="L32" s="23"/>
      <c r="M32" s="23">
        <f t="shared" si="10"/>
        <v>0</v>
      </c>
      <c r="N32" s="48"/>
      <c r="O32" s="23"/>
      <c r="P32" s="23">
        <f t="shared" si="4"/>
        <v>0</v>
      </c>
      <c r="Q32" s="48"/>
      <c r="R32" s="48">
        <f t="shared" si="11"/>
        <v>0</v>
      </c>
      <c r="S32" s="48">
        <f t="shared" si="6"/>
        <v>0</v>
      </c>
      <c r="T32" s="48">
        <f t="shared" si="7"/>
        <v>7086.42</v>
      </c>
      <c r="U32" s="49">
        <f t="shared" si="8"/>
        <v>77950.62</v>
      </c>
      <c r="V32" s="10">
        <f t="shared" si="9"/>
        <v>0</v>
      </c>
      <c r="W32" s="56" t="str">
        <f t="shared" si="0"/>
        <v>11</v>
      </c>
    </row>
    <row r="33" spans="1:23" ht="33.75" customHeight="1">
      <c r="A33" s="30">
        <v>12</v>
      </c>
      <c r="B33" s="22" t="s">
        <v>13</v>
      </c>
      <c r="C33" s="23">
        <v>14</v>
      </c>
      <c r="D33" s="27">
        <v>1</v>
      </c>
      <c r="E33" s="48">
        <v>5595.7</v>
      </c>
      <c r="F33" s="23">
        <v>20</v>
      </c>
      <c r="G33" s="23">
        <f t="shared" si="1"/>
        <v>1119.14</v>
      </c>
      <c r="H33" s="48">
        <f t="shared" si="12"/>
        <v>1119.14</v>
      </c>
      <c r="I33" s="23">
        <v>15</v>
      </c>
      <c r="J33" s="23">
        <f t="shared" si="2"/>
        <v>839.36</v>
      </c>
      <c r="K33" s="48">
        <f t="shared" si="13"/>
        <v>839.36</v>
      </c>
      <c r="L33" s="23"/>
      <c r="M33" s="23">
        <f t="shared" si="10"/>
        <v>0</v>
      </c>
      <c r="N33" s="48"/>
      <c r="O33" s="23"/>
      <c r="P33" s="23">
        <f t="shared" si="4"/>
        <v>0</v>
      </c>
      <c r="Q33" s="48"/>
      <c r="R33" s="48">
        <f t="shared" si="11"/>
        <v>0</v>
      </c>
      <c r="S33" s="48">
        <f t="shared" si="6"/>
        <v>0</v>
      </c>
      <c r="T33" s="48">
        <f t="shared" si="7"/>
        <v>7554.2</v>
      </c>
      <c r="U33" s="49">
        <f t="shared" si="8"/>
        <v>83096.2</v>
      </c>
      <c r="V33" s="10">
        <f t="shared" si="9"/>
        <v>0</v>
      </c>
      <c r="W33" s="56" t="str">
        <f t="shared" si="0"/>
        <v>12</v>
      </c>
    </row>
    <row r="34" spans="1:23" ht="30.75" customHeight="1">
      <c r="A34" s="30"/>
      <c r="B34" s="22" t="s">
        <v>13</v>
      </c>
      <c r="C34" s="23">
        <v>13</v>
      </c>
      <c r="D34" s="24">
        <v>0.5</v>
      </c>
      <c r="E34" s="48">
        <v>5249.2</v>
      </c>
      <c r="F34" s="23">
        <v>20</v>
      </c>
      <c r="G34" s="23">
        <f t="shared" si="1"/>
        <v>524.92</v>
      </c>
      <c r="H34" s="48">
        <f t="shared" si="12"/>
        <v>1049.84</v>
      </c>
      <c r="I34" s="23">
        <v>15</v>
      </c>
      <c r="J34" s="23">
        <f t="shared" si="2"/>
        <v>393.69</v>
      </c>
      <c r="K34" s="48">
        <f t="shared" si="13"/>
        <v>787.38</v>
      </c>
      <c r="L34" s="23"/>
      <c r="M34" s="23">
        <f t="shared" si="10"/>
        <v>0</v>
      </c>
      <c r="N34" s="48"/>
      <c r="O34" s="23"/>
      <c r="P34" s="23">
        <f t="shared" si="4"/>
        <v>0</v>
      </c>
      <c r="Q34" s="48"/>
      <c r="R34" s="48">
        <f t="shared" si="11"/>
        <v>0</v>
      </c>
      <c r="S34" s="48">
        <f t="shared" si="6"/>
        <v>0</v>
      </c>
      <c r="T34" s="48">
        <f t="shared" si="7"/>
        <v>3543.21</v>
      </c>
      <c r="U34" s="49">
        <f t="shared" si="8"/>
        <v>38975.31</v>
      </c>
      <c r="V34" s="10">
        <f t="shared" si="9"/>
        <v>0</v>
      </c>
      <c r="W34" s="56">
        <f t="shared" si="0"/>
      </c>
    </row>
    <row r="35" spans="1:23" ht="31.5" customHeight="1">
      <c r="A35" s="30">
        <v>13</v>
      </c>
      <c r="B35" s="22" t="s">
        <v>52</v>
      </c>
      <c r="C35" s="23">
        <v>13</v>
      </c>
      <c r="D35" s="24">
        <v>0.5</v>
      </c>
      <c r="E35" s="48">
        <v>5249.2</v>
      </c>
      <c r="F35" s="23">
        <v>20</v>
      </c>
      <c r="G35" s="23">
        <f t="shared" si="1"/>
        <v>524.92</v>
      </c>
      <c r="H35" s="48">
        <f t="shared" si="12"/>
        <v>1049.84</v>
      </c>
      <c r="I35" s="23">
        <v>15</v>
      </c>
      <c r="J35" s="23">
        <f t="shared" si="2"/>
        <v>393.69</v>
      </c>
      <c r="K35" s="48">
        <f t="shared" si="13"/>
        <v>787.38</v>
      </c>
      <c r="L35" s="23"/>
      <c r="M35" s="23">
        <f t="shared" si="10"/>
        <v>0</v>
      </c>
      <c r="N35" s="48"/>
      <c r="O35" s="23"/>
      <c r="P35" s="23">
        <f t="shared" si="4"/>
        <v>0</v>
      </c>
      <c r="Q35" s="48"/>
      <c r="R35" s="48">
        <f t="shared" si="11"/>
        <v>0</v>
      </c>
      <c r="S35" s="48">
        <f t="shared" si="6"/>
        <v>0</v>
      </c>
      <c r="T35" s="48">
        <f t="shared" si="7"/>
        <v>3543.21</v>
      </c>
      <c r="U35" s="49">
        <f t="shared" si="8"/>
        <v>38975.31</v>
      </c>
      <c r="V35" s="10">
        <f t="shared" si="9"/>
        <v>0</v>
      </c>
      <c r="W35" s="56" t="str">
        <f t="shared" si="0"/>
        <v>13</v>
      </c>
    </row>
    <row r="36" spans="1:23" ht="31.5" customHeight="1">
      <c r="A36" s="30"/>
      <c r="B36" s="22" t="s">
        <v>52</v>
      </c>
      <c r="C36" s="23">
        <v>14</v>
      </c>
      <c r="D36" s="24">
        <v>1.5</v>
      </c>
      <c r="E36" s="48">
        <v>5595.7</v>
      </c>
      <c r="F36" s="23">
        <v>20</v>
      </c>
      <c r="G36" s="23">
        <f t="shared" si="1"/>
        <v>1678.71</v>
      </c>
      <c r="H36" s="48">
        <f t="shared" si="12"/>
        <v>1119.14</v>
      </c>
      <c r="I36" s="23">
        <v>15</v>
      </c>
      <c r="J36" s="23">
        <f t="shared" si="2"/>
        <v>1259.04</v>
      </c>
      <c r="K36" s="48">
        <f t="shared" si="13"/>
        <v>839.36</v>
      </c>
      <c r="L36" s="23"/>
      <c r="M36" s="23">
        <f t="shared" si="10"/>
        <v>0</v>
      </c>
      <c r="N36" s="48"/>
      <c r="O36" s="23"/>
      <c r="P36" s="23">
        <f t="shared" si="4"/>
        <v>0</v>
      </c>
      <c r="Q36" s="48"/>
      <c r="R36" s="48">
        <f t="shared" si="11"/>
        <v>0</v>
      </c>
      <c r="S36" s="48">
        <f t="shared" si="6"/>
        <v>0</v>
      </c>
      <c r="T36" s="48">
        <f t="shared" si="7"/>
        <v>11331.3</v>
      </c>
      <c r="U36" s="49">
        <f t="shared" si="8"/>
        <v>124644.3</v>
      </c>
      <c r="V36" s="10">
        <f t="shared" si="9"/>
        <v>0</v>
      </c>
      <c r="W36" s="56">
        <f t="shared" si="0"/>
      </c>
    </row>
    <row r="37" spans="1:23" ht="25.5" customHeight="1">
      <c r="A37" s="30">
        <v>14</v>
      </c>
      <c r="B37" s="22" t="s">
        <v>47</v>
      </c>
      <c r="C37" s="23">
        <v>13</v>
      </c>
      <c r="D37" s="27">
        <v>1</v>
      </c>
      <c r="E37" s="48">
        <v>5249.2</v>
      </c>
      <c r="F37" s="23">
        <v>20</v>
      </c>
      <c r="G37" s="23">
        <f t="shared" si="1"/>
        <v>1049.84</v>
      </c>
      <c r="H37" s="48">
        <f t="shared" si="12"/>
        <v>1049.84</v>
      </c>
      <c r="I37" s="23">
        <v>15</v>
      </c>
      <c r="J37" s="23">
        <f t="shared" si="2"/>
        <v>787.38</v>
      </c>
      <c r="K37" s="48">
        <f t="shared" si="13"/>
        <v>787.38</v>
      </c>
      <c r="L37" s="23"/>
      <c r="M37" s="23">
        <f t="shared" si="10"/>
        <v>0</v>
      </c>
      <c r="N37" s="48">
        <f>ROUND(E37*L37/100*D37,2)</f>
        <v>0</v>
      </c>
      <c r="O37" s="23">
        <v>0</v>
      </c>
      <c r="P37" s="23">
        <f t="shared" si="4"/>
        <v>0</v>
      </c>
      <c r="Q37" s="48">
        <f>E37*O37/100</f>
        <v>0</v>
      </c>
      <c r="R37" s="48">
        <f t="shared" si="11"/>
        <v>0</v>
      </c>
      <c r="S37" s="48">
        <f t="shared" si="6"/>
        <v>0</v>
      </c>
      <c r="T37" s="48">
        <f t="shared" si="7"/>
        <v>7086.42</v>
      </c>
      <c r="U37" s="49">
        <f t="shared" si="8"/>
        <v>77950.62</v>
      </c>
      <c r="V37" s="10">
        <f t="shared" si="9"/>
        <v>0</v>
      </c>
      <c r="W37" s="56" t="str">
        <f t="shared" si="0"/>
        <v>14</v>
      </c>
    </row>
    <row r="38" spans="1:23" ht="36" customHeight="1">
      <c r="A38" s="30">
        <v>15</v>
      </c>
      <c r="B38" s="22" t="s">
        <v>49</v>
      </c>
      <c r="C38" s="23">
        <v>12</v>
      </c>
      <c r="D38" s="27">
        <v>1</v>
      </c>
      <c r="E38" s="48">
        <v>4901.6</v>
      </c>
      <c r="F38" s="23">
        <v>20</v>
      </c>
      <c r="G38" s="23">
        <f t="shared" si="1"/>
        <v>980.32</v>
      </c>
      <c r="H38" s="48">
        <f t="shared" si="12"/>
        <v>980.32</v>
      </c>
      <c r="I38" s="23">
        <v>15</v>
      </c>
      <c r="J38" s="23">
        <f t="shared" si="2"/>
        <v>735.24</v>
      </c>
      <c r="K38" s="48">
        <f t="shared" si="13"/>
        <v>735.24</v>
      </c>
      <c r="L38" s="23"/>
      <c r="M38" s="23">
        <f t="shared" si="10"/>
        <v>0</v>
      </c>
      <c r="N38" s="48"/>
      <c r="O38" s="23"/>
      <c r="P38" s="23">
        <f t="shared" si="4"/>
        <v>0</v>
      </c>
      <c r="Q38" s="48"/>
      <c r="R38" s="48">
        <f t="shared" si="11"/>
        <v>0</v>
      </c>
      <c r="S38" s="48">
        <f t="shared" si="6"/>
        <v>0</v>
      </c>
      <c r="T38" s="48">
        <f t="shared" si="7"/>
        <v>6617.16</v>
      </c>
      <c r="U38" s="49">
        <f t="shared" si="8"/>
        <v>72788.76</v>
      </c>
      <c r="V38" s="10">
        <f t="shared" si="9"/>
        <v>0</v>
      </c>
      <c r="W38" s="56" t="str">
        <f t="shared" si="0"/>
        <v>15</v>
      </c>
    </row>
    <row r="39" spans="1:23" ht="38.25" customHeight="1" thickBot="1">
      <c r="A39" s="79">
        <v>16</v>
      </c>
      <c r="B39" s="47" t="s">
        <v>136</v>
      </c>
      <c r="C39" s="60">
        <v>12</v>
      </c>
      <c r="D39" s="80">
        <v>1</v>
      </c>
      <c r="E39" s="71">
        <v>4901.6</v>
      </c>
      <c r="F39" s="60">
        <v>10</v>
      </c>
      <c r="G39" s="60">
        <f t="shared" si="1"/>
        <v>490.16</v>
      </c>
      <c r="H39" s="71">
        <f t="shared" si="12"/>
        <v>490.16</v>
      </c>
      <c r="I39" s="60">
        <v>15</v>
      </c>
      <c r="J39" s="60">
        <f t="shared" si="2"/>
        <v>735.24</v>
      </c>
      <c r="K39" s="71">
        <f>ROUND(E39*I39/100*D39,2)</f>
        <v>735.24</v>
      </c>
      <c r="L39" s="60"/>
      <c r="M39" s="60">
        <f t="shared" si="10"/>
        <v>0</v>
      </c>
      <c r="N39" s="71">
        <f>ROUND(E39*L39/100,2)</f>
        <v>0</v>
      </c>
      <c r="O39" s="60">
        <v>0</v>
      </c>
      <c r="P39" s="60">
        <f t="shared" si="4"/>
        <v>0</v>
      </c>
      <c r="Q39" s="71">
        <f>E39*O39/100</f>
        <v>0</v>
      </c>
      <c r="R39" s="48">
        <f t="shared" si="11"/>
        <v>0</v>
      </c>
      <c r="S39" s="48">
        <f t="shared" si="6"/>
        <v>0</v>
      </c>
      <c r="T39" s="71">
        <f t="shared" si="7"/>
        <v>6127</v>
      </c>
      <c r="U39" s="52">
        <f t="shared" si="8"/>
        <v>67397</v>
      </c>
      <c r="V39" s="10">
        <f t="shared" si="9"/>
        <v>0</v>
      </c>
      <c r="W39" s="56" t="str">
        <f t="shared" si="0"/>
        <v>16</v>
      </c>
    </row>
    <row r="40" spans="1:23" ht="33.75" customHeight="1" thickBot="1">
      <c r="A40" s="222" t="s">
        <v>14</v>
      </c>
      <c r="B40" s="223"/>
      <c r="C40" s="25" t="s">
        <v>15</v>
      </c>
      <c r="D40" s="26">
        <f>SUM(D15:D39)</f>
        <v>30</v>
      </c>
      <c r="E40" s="50">
        <f>T40-H40-N40-K40-Q40-S40</f>
        <v>164112.95</v>
      </c>
      <c r="F40" s="25" t="s">
        <v>15</v>
      </c>
      <c r="G40" s="25"/>
      <c r="H40" s="50">
        <f>ROUND(SUM(G15:G39),2)</f>
        <v>36462.87</v>
      </c>
      <c r="I40" s="25" t="s">
        <v>15</v>
      </c>
      <c r="J40" s="25"/>
      <c r="K40" s="50">
        <f>ROUND(SUM(J15:J39),2)</f>
        <v>24616.97</v>
      </c>
      <c r="L40" s="25" t="s">
        <v>15</v>
      </c>
      <c r="M40" s="25"/>
      <c r="N40" s="50">
        <f>ROUND(SUM(M15:M39),2)</f>
        <v>3673.75</v>
      </c>
      <c r="O40" s="25" t="s">
        <v>15</v>
      </c>
      <c r="P40" s="25"/>
      <c r="Q40" s="50">
        <f>ROUND(SUM(P15:P39),2)</f>
        <v>13526.74</v>
      </c>
      <c r="R40" s="50"/>
      <c r="S40" s="50">
        <f>ROUND(SUM(R15:R39),2)</f>
        <v>0</v>
      </c>
      <c r="T40" s="50">
        <f>SUM(T15:T39)</f>
        <v>242393.28</v>
      </c>
      <c r="U40" s="51">
        <f>SUM(U15:U39)</f>
        <v>2666326.08</v>
      </c>
      <c r="V40" s="10"/>
      <c r="W40" s="56" t="str">
        <f t="shared" si="0"/>
        <v>Всього</v>
      </c>
    </row>
    <row r="41" spans="1:23" ht="30.75" customHeight="1">
      <c r="A41" s="224" t="s">
        <v>75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6"/>
      <c r="V41" s="10">
        <f>IF(D41&gt;0,IF((U41/D41-Q41)&gt;$W$1,0,($W$1-(U41/D41-Q41))*D41),0)</f>
        <v>0</v>
      </c>
      <c r="W41" s="56" t="str">
        <f t="shared" si="0"/>
        <v>1.2. М</v>
      </c>
    </row>
    <row r="42" spans="1:23" ht="42.75" customHeight="1">
      <c r="A42" s="30">
        <v>1</v>
      </c>
      <c r="B42" s="22" t="s">
        <v>16</v>
      </c>
      <c r="C42" s="23">
        <v>13</v>
      </c>
      <c r="D42" s="27">
        <v>3</v>
      </c>
      <c r="E42" s="48">
        <v>5249.2</v>
      </c>
      <c r="F42" s="23">
        <v>20</v>
      </c>
      <c r="G42" s="23">
        <f>H42*$D42</f>
        <v>3149.5199999999995</v>
      </c>
      <c r="H42" s="48">
        <f>E42*F42/100</f>
        <v>1049.84</v>
      </c>
      <c r="I42" s="23">
        <v>15</v>
      </c>
      <c r="J42" s="23">
        <f>K42*$D42</f>
        <v>2362.14</v>
      </c>
      <c r="K42" s="48">
        <f>ROUND(E42*I42/100,2)</f>
        <v>787.38</v>
      </c>
      <c r="L42" s="23"/>
      <c r="M42" s="23">
        <f>N42*D42</f>
        <v>0</v>
      </c>
      <c r="N42" s="48">
        <f>ROUND(E42*L42/100*D42,2)</f>
        <v>0</v>
      </c>
      <c r="O42" s="23">
        <v>0</v>
      </c>
      <c r="P42" s="23">
        <f>Q42*D42</f>
        <v>0</v>
      </c>
      <c r="Q42" s="48">
        <f>E42*O42/100</f>
        <v>0</v>
      </c>
      <c r="R42" s="48">
        <f>S42*D42</f>
        <v>0</v>
      </c>
      <c r="S42" s="48">
        <f>MAX($W$1-ROUND(ROUND((E42+H42+N42+K42+Q42)*D42,2)/D42,2),0)</f>
        <v>0</v>
      </c>
      <c r="T42" s="48">
        <f>ROUND((E42+H42+N42+K42+Q42)*D42,2)</f>
        <v>21259.26</v>
      </c>
      <c r="U42" s="49">
        <f>ROUND(SUM(T42*$W$7),2)</f>
        <v>233851.86</v>
      </c>
      <c r="V42" s="10">
        <f>IF(D42&gt;0,IF((U42/D42-Q42)&gt;$W$1,0,($W$1-(U42/D42-Q42))*D42),0)</f>
        <v>0</v>
      </c>
      <c r="W42" s="56" t="str">
        <f t="shared" si="0"/>
        <v>1</v>
      </c>
    </row>
    <row r="43" spans="1:23" ht="45" customHeight="1" thickBot="1">
      <c r="A43" s="79">
        <v>2</v>
      </c>
      <c r="B43" s="47" t="s">
        <v>16</v>
      </c>
      <c r="C43" s="60">
        <v>14</v>
      </c>
      <c r="D43" s="80">
        <v>2</v>
      </c>
      <c r="E43" s="71">
        <v>5595.7</v>
      </c>
      <c r="F43" s="60">
        <v>30</v>
      </c>
      <c r="G43" s="60">
        <f>H43*$D43</f>
        <v>3357.42</v>
      </c>
      <c r="H43" s="71">
        <f>E43*F43/100</f>
        <v>1678.71</v>
      </c>
      <c r="I43" s="60">
        <v>15</v>
      </c>
      <c r="J43" s="60">
        <f>K43*$D43</f>
        <v>1678.72</v>
      </c>
      <c r="K43" s="71">
        <f>ROUND(E43*I43/100,2)</f>
        <v>839.36</v>
      </c>
      <c r="L43" s="60"/>
      <c r="M43" s="60">
        <f>N43*D43</f>
        <v>0</v>
      </c>
      <c r="N43" s="71">
        <f>ROUND(E43*L43/100*D43,2)</f>
        <v>0</v>
      </c>
      <c r="O43" s="60">
        <v>0</v>
      </c>
      <c r="P43" s="60">
        <f>Q43*D43</f>
        <v>0</v>
      </c>
      <c r="Q43" s="71">
        <f>E43*O43/100</f>
        <v>0</v>
      </c>
      <c r="R43" s="48">
        <f>S43*D43</f>
        <v>0</v>
      </c>
      <c r="S43" s="48">
        <f>MAX($W$1-ROUND(ROUND((E43+H43+N43+K43+Q43)*D43,2)/D43,2),0)</f>
        <v>0</v>
      </c>
      <c r="T43" s="71">
        <f>ROUND((E43+H43+N43+K43+Q43)*D43,2)</f>
        <v>16227.54</v>
      </c>
      <c r="U43" s="52">
        <f>ROUND(SUM(T43*$W$7),2)</f>
        <v>178502.94</v>
      </c>
      <c r="V43" s="10">
        <f>IF(D43&gt;0,IF((U43/D43-Q43)&gt;$W$1,0,($W$1-(U43/D43-Q43))*D43),0)</f>
        <v>0</v>
      </c>
      <c r="W43" s="56" t="str">
        <f t="shared" si="0"/>
        <v>2</v>
      </c>
    </row>
    <row r="44" spans="1:23" ht="27" customHeight="1" thickBot="1">
      <c r="A44" s="222" t="s">
        <v>17</v>
      </c>
      <c r="B44" s="223"/>
      <c r="C44" s="25" t="s">
        <v>15</v>
      </c>
      <c r="D44" s="26">
        <f>SUM(D42:D43)</f>
        <v>5</v>
      </c>
      <c r="E44" s="50">
        <f>T44-H44-N44-K44-Q44-S44</f>
        <v>26939.000000000004</v>
      </c>
      <c r="F44" s="25" t="s">
        <v>15</v>
      </c>
      <c r="G44" s="25"/>
      <c r="H44" s="50">
        <f>ROUND(SUM(G42:G43),2)</f>
        <v>6506.94</v>
      </c>
      <c r="I44" s="25" t="s">
        <v>15</v>
      </c>
      <c r="J44" s="25"/>
      <c r="K44" s="50">
        <f>ROUND(SUM(J42:J43),2)</f>
        <v>4040.86</v>
      </c>
      <c r="L44" s="25" t="s">
        <v>15</v>
      </c>
      <c r="M44" s="25"/>
      <c r="N44" s="50">
        <f>ROUND(SUM(M42:M43),2)</f>
        <v>0</v>
      </c>
      <c r="O44" s="25" t="s">
        <v>15</v>
      </c>
      <c r="P44" s="25"/>
      <c r="Q44" s="50">
        <f>ROUND(SUM(P42:P43),2)</f>
        <v>0</v>
      </c>
      <c r="R44" s="50"/>
      <c r="S44" s="50">
        <f>ROUND(SUM(R42:R43),2)</f>
        <v>0</v>
      </c>
      <c r="T44" s="50">
        <f>SUM(T42:T43)</f>
        <v>37486.8</v>
      </c>
      <c r="U44" s="51">
        <f>SUM(U42:U43)</f>
        <v>412354.8</v>
      </c>
      <c r="V44" s="10">
        <f>IF(D44&gt;0,IF((U44/D44-Q44)&gt;$W$1,0,($W$1-(U44/D44-Q44))*D44),0)</f>
        <v>0</v>
      </c>
      <c r="W44" s="56" t="str">
        <f>LEFT(A44,6)</f>
        <v>Всього</v>
      </c>
    </row>
    <row r="45" spans="1:23" ht="32.25" customHeight="1">
      <c r="A45" s="224" t="s">
        <v>76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6"/>
      <c r="V45" s="10">
        <f>IF(D45&gt;0,IF((U45/D45-Q45)&gt;$W$1,0,($W$1-(U45/D45-Q45))*D45),0)</f>
        <v>0</v>
      </c>
      <c r="W45" s="56" t="str">
        <f t="shared" si="0"/>
        <v>1.3.Фа</v>
      </c>
    </row>
    <row r="46" spans="1:23" ht="57.75" customHeight="1">
      <c r="A46" s="30">
        <v>1</v>
      </c>
      <c r="B46" s="22" t="s">
        <v>77</v>
      </c>
      <c r="C46" s="32">
        <v>0.9</v>
      </c>
      <c r="D46" s="27">
        <v>1</v>
      </c>
      <c r="E46" s="24">
        <v>6072.3</v>
      </c>
      <c r="F46" s="23"/>
      <c r="G46" s="23">
        <f aca="true" t="shared" si="14" ref="G46:G71">H46*$D46</f>
        <v>0</v>
      </c>
      <c r="H46" s="48">
        <f aca="true" t="shared" si="15" ref="H46:H58">E46*F46/100</f>
        <v>0</v>
      </c>
      <c r="I46" s="23"/>
      <c r="J46" s="23">
        <f aca="true" t="shared" si="16" ref="J46:J71">K46*$D46</f>
        <v>0</v>
      </c>
      <c r="K46" s="48">
        <f aca="true" t="shared" si="17" ref="K46:K71">ROUND(E46*I46/100,2)</f>
        <v>0</v>
      </c>
      <c r="L46" s="23">
        <v>15</v>
      </c>
      <c r="M46" s="23">
        <f>N46*D46</f>
        <v>910.85</v>
      </c>
      <c r="N46" s="24">
        <f>ROUND(E46*L46/100*D46,2)</f>
        <v>910.85</v>
      </c>
      <c r="O46" s="23">
        <v>10</v>
      </c>
      <c r="P46" s="23">
        <f aca="true" t="shared" si="18" ref="P46:P71">Q46*D46</f>
        <v>607.23</v>
      </c>
      <c r="Q46" s="48">
        <f aca="true" t="shared" si="19" ref="Q46:Q60">E46*O46/100</f>
        <v>607.23</v>
      </c>
      <c r="R46" s="48">
        <f aca="true" t="shared" si="20" ref="R46:R71">S46*D46</f>
        <v>0</v>
      </c>
      <c r="S46" s="48">
        <f aca="true" t="shared" si="21" ref="S46:S71">MAX($W$1-ROUND(ROUND((E46+H46+N46+K46+Q46)*D46,2)/D46,2),0)</f>
        <v>0</v>
      </c>
      <c r="T46" s="48">
        <f aca="true" t="shared" si="22" ref="T46:T71">ROUND((E46+H46+N46+K46+Q46+S46)*D46,2)</f>
        <v>7590.38</v>
      </c>
      <c r="U46" s="49">
        <f aca="true" t="shared" si="23" ref="U46:U73">ROUND(SUM(T46*$W$7),2)</f>
        <v>83494.18</v>
      </c>
      <c r="V46" s="10">
        <f>D46*E46-(T46-S46-Q46-N46-K46-H46)</f>
        <v>0</v>
      </c>
      <c r="W46" s="56" t="str">
        <f t="shared" si="0"/>
        <v>1</v>
      </c>
    </row>
    <row r="47" spans="1:23" ht="28.5" customHeight="1">
      <c r="A47" s="30">
        <v>2</v>
      </c>
      <c r="B47" s="22" t="s">
        <v>18</v>
      </c>
      <c r="C47" s="23">
        <v>0.9</v>
      </c>
      <c r="D47" s="27">
        <v>1</v>
      </c>
      <c r="E47" s="24">
        <v>6072.3</v>
      </c>
      <c r="F47" s="23"/>
      <c r="G47" s="23">
        <f t="shared" si="14"/>
        <v>0</v>
      </c>
      <c r="H47" s="48">
        <f t="shared" si="15"/>
        <v>0</v>
      </c>
      <c r="I47" s="23"/>
      <c r="J47" s="23">
        <f t="shared" si="16"/>
        <v>0</v>
      </c>
      <c r="K47" s="48">
        <f t="shared" si="17"/>
        <v>0</v>
      </c>
      <c r="L47" s="23">
        <v>15</v>
      </c>
      <c r="M47" s="23">
        <f aca="true" t="shared" si="24" ref="M47:M71">N47*D47</f>
        <v>910.85</v>
      </c>
      <c r="N47" s="24">
        <f>ROUND(E47*L47/100*D47,2)</f>
        <v>910.85</v>
      </c>
      <c r="O47" s="23"/>
      <c r="P47" s="23">
        <f t="shared" si="18"/>
        <v>0</v>
      </c>
      <c r="Q47" s="48">
        <f t="shared" si="19"/>
        <v>0</v>
      </c>
      <c r="R47" s="48">
        <f t="shared" si="20"/>
        <v>0</v>
      </c>
      <c r="S47" s="48">
        <f t="shared" si="21"/>
        <v>0</v>
      </c>
      <c r="T47" s="48">
        <f t="shared" si="22"/>
        <v>6983.15</v>
      </c>
      <c r="U47" s="49">
        <f t="shared" si="23"/>
        <v>76814.65</v>
      </c>
      <c r="V47" s="10">
        <f aca="true" t="shared" si="25" ref="V47:V59">D47*E47-(T47-S47-Q47-N47-K47-H47)</f>
        <v>0</v>
      </c>
      <c r="W47" s="56" t="str">
        <f t="shared" si="0"/>
        <v>2</v>
      </c>
    </row>
    <row r="48" spans="1:23" ht="32.25" customHeight="1">
      <c r="A48" s="30">
        <v>3</v>
      </c>
      <c r="B48" s="22" t="s">
        <v>78</v>
      </c>
      <c r="C48" s="23">
        <v>12</v>
      </c>
      <c r="D48" s="27">
        <v>1</v>
      </c>
      <c r="E48" s="27">
        <v>4456</v>
      </c>
      <c r="F48" s="23">
        <v>30</v>
      </c>
      <c r="G48" s="23">
        <f t="shared" si="14"/>
        <v>1336.8</v>
      </c>
      <c r="H48" s="48">
        <f t="shared" si="15"/>
        <v>1336.8</v>
      </c>
      <c r="I48" s="23">
        <v>0</v>
      </c>
      <c r="J48" s="23">
        <f t="shared" si="16"/>
        <v>0</v>
      </c>
      <c r="K48" s="48">
        <f t="shared" si="17"/>
        <v>0</v>
      </c>
      <c r="L48" s="23"/>
      <c r="M48" s="23">
        <f t="shared" si="24"/>
        <v>0</v>
      </c>
      <c r="N48" s="24">
        <f aca="true" t="shared" si="26" ref="N48:N61">ROUND(E48*L48/100*D48,2)</f>
        <v>0</v>
      </c>
      <c r="O48" s="23">
        <v>50</v>
      </c>
      <c r="P48" s="23">
        <f t="shared" si="18"/>
        <v>2228</v>
      </c>
      <c r="Q48" s="48">
        <f t="shared" si="19"/>
        <v>2228</v>
      </c>
      <c r="R48" s="48">
        <f t="shared" si="20"/>
        <v>0</v>
      </c>
      <c r="S48" s="48">
        <f t="shared" si="21"/>
        <v>0</v>
      </c>
      <c r="T48" s="48">
        <f t="shared" si="22"/>
        <v>8020.8</v>
      </c>
      <c r="U48" s="49">
        <f t="shared" si="23"/>
        <v>88228.8</v>
      </c>
      <c r="V48" s="10">
        <f t="shared" si="25"/>
        <v>0</v>
      </c>
      <c r="W48" s="56" t="str">
        <f t="shared" si="0"/>
        <v>3</v>
      </c>
    </row>
    <row r="49" spans="1:23" ht="42" customHeight="1">
      <c r="A49" s="30">
        <v>4</v>
      </c>
      <c r="B49" s="22" t="s">
        <v>79</v>
      </c>
      <c r="C49" s="23">
        <v>10</v>
      </c>
      <c r="D49" s="27">
        <v>1</v>
      </c>
      <c r="E49" s="27">
        <v>3826</v>
      </c>
      <c r="F49" s="23"/>
      <c r="G49" s="23">
        <f t="shared" si="14"/>
        <v>0</v>
      </c>
      <c r="H49" s="48">
        <f t="shared" si="15"/>
        <v>0</v>
      </c>
      <c r="I49" s="23"/>
      <c r="J49" s="23">
        <f t="shared" si="16"/>
        <v>0</v>
      </c>
      <c r="K49" s="48">
        <f t="shared" si="17"/>
        <v>0</v>
      </c>
      <c r="L49" s="23"/>
      <c r="M49" s="23">
        <f t="shared" si="24"/>
        <v>0</v>
      </c>
      <c r="N49" s="24">
        <f t="shared" si="26"/>
        <v>0</v>
      </c>
      <c r="O49" s="23"/>
      <c r="P49" s="23">
        <f t="shared" si="18"/>
        <v>0</v>
      </c>
      <c r="Q49" s="48">
        <f t="shared" si="19"/>
        <v>0</v>
      </c>
      <c r="R49" s="48">
        <f t="shared" si="20"/>
        <v>897</v>
      </c>
      <c r="S49" s="48">
        <f t="shared" si="21"/>
        <v>897</v>
      </c>
      <c r="T49" s="48">
        <f t="shared" si="22"/>
        <v>4723</v>
      </c>
      <c r="U49" s="49">
        <f t="shared" si="23"/>
        <v>51953</v>
      </c>
      <c r="V49" s="10">
        <f t="shared" si="25"/>
        <v>0</v>
      </c>
      <c r="W49" s="56" t="str">
        <f t="shared" si="0"/>
        <v>4</v>
      </c>
    </row>
    <row r="50" spans="1:23" ht="42.75" customHeight="1">
      <c r="A50" s="30">
        <v>5</v>
      </c>
      <c r="B50" s="22" t="s">
        <v>66</v>
      </c>
      <c r="C50" s="23">
        <v>8</v>
      </c>
      <c r="D50" s="27">
        <v>1</v>
      </c>
      <c r="E50" s="27">
        <v>3447</v>
      </c>
      <c r="F50" s="23"/>
      <c r="G50" s="23">
        <f t="shared" si="14"/>
        <v>0</v>
      </c>
      <c r="H50" s="48">
        <f t="shared" si="15"/>
        <v>0</v>
      </c>
      <c r="I50" s="23"/>
      <c r="J50" s="23">
        <f t="shared" si="16"/>
        <v>0</v>
      </c>
      <c r="K50" s="48">
        <f t="shared" si="17"/>
        <v>0</v>
      </c>
      <c r="L50" s="23"/>
      <c r="M50" s="23">
        <f t="shared" si="24"/>
        <v>0</v>
      </c>
      <c r="N50" s="24">
        <f t="shared" si="26"/>
        <v>0</v>
      </c>
      <c r="O50" s="23"/>
      <c r="P50" s="23">
        <f t="shared" si="18"/>
        <v>0</v>
      </c>
      <c r="Q50" s="48">
        <f t="shared" si="19"/>
        <v>0</v>
      </c>
      <c r="R50" s="48">
        <f t="shared" si="20"/>
        <v>1276</v>
      </c>
      <c r="S50" s="48">
        <f t="shared" si="21"/>
        <v>1276</v>
      </c>
      <c r="T50" s="48">
        <f t="shared" si="22"/>
        <v>4723</v>
      </c>
      <c r="U50" s="49">
        <f t="shared" si="23"/>
        <v>51953</v>
      </c>
      <c r="V50" s="10">
        <f t="shared" si="25"/>
        <v>0</v>
      </c>
      <c r="W50" s="56" t="str">
        <f t="shared" si="0"/>
        <v>5</v>
      </c>
    </row>
    <row r="51" spans="1:23" ht="33" customHeight="1">
      <c r="A51" s="30">
        <v>6</v>
      </c>
      <c r="B51" s="22" t="s">
        <v>53</v>
      </c>
      <c r="C51" s="23">
        <v>10</v>
      </c>
      <c r="D51" s="27">
        <v>1</v>
      </c>
      <c r="E51" s="27">
        <v>3826</v>
      </c>
      <c r="F51" s="23"/>
      <c r="G51" s="23">
        <f t="shared" si="14"/>
        <v>0</v>
      </c>
      <c r="H51" s="48">
        <f t="shared" si="15"/>
        <v>0</v>
      </c>
      <c r="I51" s="23"/>
      <c r="J51" s="23">
        <f t="shared" si="16"/>
        <v>0</v>
      </c>
      <c r="K51" s="48">
        <f t="shared" si="17"/>
        <v>0</v>
      </c>
      <c r="L51" s="23"/>
      <c r="M51" s="23">
        <f t="shared" si="24"/>
        <v>0</v>
      </c>
      <c r="N51" s="24">
        <f t="shared" si="26"/>
        <v>0</v>
      </c>
      <c r="O51" s="23"/>
      <c r="P51" s="23">
        <f t="shared" si="18"/>
        <v>0</v>
      </c>
      <c r="Q51" s="48">
        <f t="shared" si="19"/>
        <v>0</v>
      </c>
      <c r="R51" s="48">
        <f t="shared" si="20"/>
        <v>897</v>
      </c>
      <c r="S51" s="48">
        <f t="shared" si="21"/>
        <v>897</v>
      </c>
      <c r="T51" s="48">
        <f t="shared" si="22"/>
        <v>4723</v>
      </c>
      <c r="U51" s="49">
        <f t="shared" si="23"/>
        <v>51953</v>
      </c>
      <c r="V51" s="10">
        <f t="shared" si="25"/>
        <v>0</v>
      </c>
      <c r="W51" s="56" t="str">
        <f t="shared" si="0"/>
        <v>6</v>
      </c>
    </row>
    <row r="52" spans="1:23" ht="43.5" customHeight="1">
      <c r="A52" s="30">
        <v>7</v>
      </c>
      <c r="B52" s="22" t="s">
        <v>80</v>
      </c>
      <c r="C52" s="23">
        <v>9</v>
      </c>
      <c r="D52" s="27">
        <v>1</v>
      </c>
      <c r="E52" s="27">
        <v>3636</v>
      </c>
      <c r="F52" s="23"/>
      <c r="G52" s="23">
        <f t="shared" si="14"/>
        <v>0</v>
      </c>
      <c r="H52" s="48">
        <f t="shared" si="15"/>
        <v>0</v>
      </c>
      <c r="I52" s="23"/>
      <c r="J52" s="23">
        <f t="shared" si="16"/>
        <v>0</v>
      </c>
      <c r="K52" s="48">
        <f t="shared" si="17"/>
        <v>0</v>
      </c>
      <c r="L52" s="23"/>
      <c r="M52" s="23">
        <f t="shared" si="24"/>
        <v>0</v>
      </c>
      <c r="N52" s="24">
        <f t="shared" si="26"/>
        <v>0</v>
      </c>
      <c r="O52" s="23"/>
      <c r="P52" s="23">
        <f t="shared" si="18"/>
        <v>0</v>
      </c>
      <c r="Q52" s="48">
        <f t="shared" si="19"/>
        <v>0</v>
      </c>
      <c r="R52" s="48">
        <f t="shared" si="20"/>
        <v>1087</v>
      </c>
      <c r="S52" s="48">
        <f t="shared" si="21"/>
        <v>1087</v>
      </c>
      <c r="T52" s="48">
        <f t="shared" si="22"/>
        <v>4723</v>
      </c>
      <c r="U52" s="49">
        <f t="shared" si="23"/>
        <v>51953</v>
      </c>
      <c r="V52" s="10">
        <f t="shared" si="25"/>
        <v>0</v>
      </c>
      <c r="W52" s="56" t="str">
        <f t="shared" si="0"/>
        <v>7</v>
      </c>
    </row>
    <row r="53" spans="1:23" ht="98.25" customHeight="1">
      <c r="A53" s="30">
        <v>8</v>
      </c>
      <c r="B53" s="22" t="s">
        <v>100</v>
      </c>
      <c r="C53" s="23">
        <v>9</v>
      </c>
      <c r="D53" s="27">
        <v>1</v>
      </c>
      <c r="E53" s="27">
        <v>3636</v>
      </c>
      <c r="F53" s="23"/>
      <c r="G53" s="23">
        <f t="shared" si="14"/>
        <v>0</v>
      </c>
      <c r="H53" s="48">
        <f t="shared" si="15"/>
        <v>0</v>
      </c>
      <c r="I53" s="23"/>
      <c r="J53" s="23">
        <f t="shared" si="16"/>
        <v>0</v>
      </c>
      <c r="K53" s="48">
        <f t="shared" si="17"/>
        <v>0</v>
      </c>
      <c r="L53" s="23"/>
      <c r="M53" s="23">
        <f t="shared" si="24"/>
        <v>0</v>
      </c>
      <c r="N53" s="24">
        <f t="shared" si="26"/>
        <v>0</v>
      </c>
      <c r="O53" s="23"/>
      <c r="P53" s="23">
        <f t="shared" si="18"/>
        <v>0</v>
      </c>
      <c r="Q53" s="48">
        <f t="shared" si="19"/>
        <v>0</v>
      </c>
      <c r="R53" s="48">
        <f t="shared" si="20"/>
        <v>1087</v>
      </c>
      <c r="S53" s="48">
        <f t="shared" si="21"/>
        <v>1087</v>
      </c>
      <c r="T53" s="48">
        <f t="shared" si="22"/>
        <v>4723</v>
      </c>
      <c r="U53" s="49">
        <f t="shared" si="23"/>
        <v>51953</v>
      </c>
      <c r="V53" s="10">
        <f t="shared" si="25"/>
        <v>0</v>
      </c>
      <c r="W53" s="56" t="str">
        <f t="shared" si="0"/>
        <v>8</v>
      </c>
    </row>
    <row r="54" spans="1:23" ht="64.5" customHeight="1">
      <c r="A54" s="30">
        <v>9</v>
      </c>
      <c r="B54" s="22" t="s">
        <v>81</v>
      </c>
      <c r="C54" s="23">
        <v>9</v>
      </c>
      <c r="D54" s="27">
        <v>1</v>
      </c>
      <c r="E54" s="27">
        <v>3323</v>
      </c>
      <c r="F54" s="23"/>
      <c r="G54" s="23">
        <f t="shared" si="14"/>
        <v>0</v>
      </c>
      <c r="H54" s="48">
        <f t="shared" si="15"/>
        <v>0</v>
      </c>
      <c r="I54" s="23"/>
      <c r="J54" s="23">
        <f t="shared" si="16"/>
        <v>0</v>
      </c>
      <c r="K54" s="48">
        <f t="shared" si="17"/>
        <v>0</v>
      </c>
      <c r="L54" s="23"/>
      <c r="M54" s="23">
        <f t="shared" si="24"/>
        <v>0</v>
      </c>
      <c r="N54" s="24">
        <f t="shared" si="26"/>
        <v>0</v>
      </c>
      <c r="O54" s="23"/>
      <c r="P54" s="23">
        <f t="shared" si="18"/>
        <v>0</v>
      </c>
      <c r="Q54" s="48">
        <f t="shared" si="19"/>
        <v>0</v>
      </c>
      <c r="R54" s="48">
        <f t="shared" si="20"/>
        <v>1400</v>
      </c>
      <c r="S54" s="48">
        <f t="shared" si="21"/>
        <v>1400</v>
      </c>
      <c r="T54" s="48">
        <f t="shared" si="22"/>
        <v>4723</v>
      </c>
      <c r="U54" s="49">
        <f t="shared" si="23"/>
        <v>51953</v>
      </c>
      <c r="V54" s="10">
        <f t="shared" si="25"/>
        <v>0</v>
      </c>
      <c r="W54" s="56" t="str">
        <f t="shared" si="0"/>
        <v>9</v>
      </c>
    </row>
    <row r="55" spans="1:23" ht="31.5" customHeight="1">
      <c r="A55" s="30">
        <v>10</v>
      </c>
      <c r="B55" s="22" t="s">
        <v>20</v>
      </c>
      <c r="C55" s="23">
        <v>5</v>
      </c>
      <c r="D55" s="27">
        <v>3</v>
      </c>
      <c r="E55" s="27">
        <v>2859</v>
      </c>
      <c r="F55" s="23"/>
      <c r="G55" s="23">
        <f t="shared" si="14"/>
        <v>0</v>
      </c>
      <c r="H55" s="48">
        <f t="shared" si="15"/>
        <v>0</v>
      </c>
      <c r="I55" s="23"/>
      <c r="J55" s="23">
        <f t="shared" si="16"/>
        <v>0</v>
      </c>
      <c r="K55" s="48">
        <f t="shared" si="17"/>
        <v>0</v>
      </c>
      <c r="L55" s="23"/>
      <c r="M55" s="23">
        <f t="shared" si="24"/>
        <v>0</v>
      </c>
      <c r="N55" s="24">
        <f t="shared" si="26"/>
        <v>0</v>
      </c>
      <c r="O55" s="23"/>
      <c r="P55" s="23">
        <f t="shared" si="18"/>
        <v>0</v>
      </c>
      <c r="Q55" s="48">
        <f t="shared" si="19"/>
        <v>0</v>
      </c>
      <c r="R55" s="48">
        <f t="shared" si="20"/>
        <v>5592</v>
      </c>
      <c r="S55" s="48">
        <f t="shared" si="21"/>
        <v>1864</v>
      </c>
      <c r="T55" s="48">
        <f t="shared" si="22"/>
        <v>14169</v>
      </c>
      <c r="U55" s="49">
        <f t="shared" si="23"/>
        <v>155859</v>
      </c>
      <c r="V55" s="10"/>
      <c r="W55" s="56" t="str">
        <f t="shared" si="0"/>
        <v>10</v>
      </c>
    </row>
    <row r="56" spans="1:23" ht="29.25" customHeight="1">
      <c r="A56" s="30">
        <v>11</v>
      </c>
      <c r="B56" s="22" t="s">
        <v>139</v>
      </c>
      <c r="C56" s="23">
        <v>5</v>
      </c>
      <c r="D56" s="27">
        <v>4</v>
      </c>
      <c r="E56" s="27">
        <v>2859</v>
      </c>
      <c r="F56" s="23"/>
      <c r="G56" s="23">
        <f>H56*$D56</f>
        <v>0</v>
      </c>
      <c r="H56" s="48">
        <f>E56*F56/100</f>
        <v>0</v>
      </c>
      <c r="I56" s="23"/>
      <c r="J56" s="23">
        <f>K56*$D56</f>
        <v>0</v>
      </c>
      <c r="K56" s="48">
        <f>ROUND(E56*I56/100,2)</f>
        <v>0</v>
      </c>
      <c r="L56" s="23"/>
      <c r="M56" s="23">
        <f>N56*D56</f>
        <v>0</v>
      </c>
      <c r="N56" s="24">
        <f>ROUND(E56*L56/100*D56,2)</f>
        <v>0</v>
      </c>
      <c r="O56" s="23"/>
      <c r="P56" s="23">
        <f>Q56*D56</f>
        <v>0</v>
      </c>
      <c r="Q56" s="48">
        <f>E56*O56/100</f>
        <v>0</v>
      </c>
      <c r="R56" s="48">
        <f>S56*D56</f>
        <v>7456</v>
      </c>
      <c r="S56" s="48">
        <f>MAX($W$1-ROUND(ROUND((E56+H56+N56+K56+Q56)*D56,2)/D56,2),0)</f>
        <v>1864</v>
      </c>
      <c r="T56" s="48">
        <f>ROUND((E56+H56+N56+K56+Q56+S56)*D56,2)</f>
        <v>18892</v>
      </c>
      <c r="U56" s="49">
        <f t="shared" si="23"/>
        <v>207812</v>
      </c>
      <c r="V56" s="10"/>
      <c r="W56" s="56" t="str">
        <f t="shared" si="0"/>
        <v>11</v>
      </c>
    </row>
    <row r="57" spans="1:23" ht="40.5" customHeight="1">
      <c r="A57" s="30">
        <v>12</v>
      </c>
      <c r="B57" s="22" t="s">
        <v>54</v>
      </c>
      <c r="C57" s="23">
        <v>5</v>
      </c>
      <c r="D57" s="27">
        <v>1</v>
      </c>
      <c r="E57" s="27">
        <v>2859</v>
      </c>
      <c r="F57" s="23"/>
      <c r="G57" s="23">
        <f t="shared" si="14"/>
        <v>0</v>
      </c>
      <c r="H57" s="48">
        <f t="shared" si="15"/>
        <v>0</v>
      </c>
      <c r="I57" s="23"/>
      <c r="J57" s="23">
        <f t="shared" si="16"/>
        <v>0</v>
      </c>
      <c r="K57" s="48">
        <f t="shared" si="17"/>
        <v>0</v>
      </c>
      <c r="L57" s="23"/>
      <c r="M57" s="23">
        <f t="shared" si="24"/>
        <v>0</v>
      </c>
      <c r="N57" s="24">
        <f t="shared" si="26"/>
        <v>0</v>
      </c>
      <c r="O57" s="23"/>
      <c r="P57" s="23">
        <f t="shared" si="18"/>
        <v>0</v>
      </c>
      <c r="Q57" s="48">
        <f t="shared" si="19"/>
        <v>0</v>
      </c>
      <c r="R57" s="48">
        <f t="shared" si="20"/>
        <v>1864</v>
      </c>
      <c r="S57" s="48">
        <f t="shared" si="21"/>
        <v>1864</v>
      </c>
      <c r="T57" s="48">
        <f t="shared" si="22"/>
        <v>4723</v>
      </c>
      <c r="U57" s="49">
        <f t="shared" si="23"/>
        <v>51953</v>
      </c>
      <c r="V57" s="10">
        <f t="shared" si="25"/>
        <v>0</v>
      </c>
      <c r="W57" s="56" t="str">
        <f t="shared" si="0"/>
        <v>12</v>
      </c>
    </row>
    <row r="58" spans="1:23" ht="36.75" customHeight="1">
      <c r="A58" s="30">
        <v>13</v>
      </c>
      <c r="B58" s="22" t="s">
        <v>57</v>
      </c>
      <c r="C58" s="23">
        <v>10</v>
      </c>
      <c r="D58" s="27">
        <v>1</v>
      </c>
      <c r="E58" s="27">
        <v>3826</v>
      </c>
      <c r="F58" s="23">
        <v>30</v>
      </c>
      <c r="G58" s="23">
        <f t="shared" si="14"/>
        <v>1147.8</v>
      </c>
      <c r="H58" s="48">
        <f t="shared" si="15"/>
        <v>1147.8</v>
      </c>
      <c r="I58" s="23"/>
      <c r="J58" s="23">
        <f t="shared" si="16"/>
        <v>0</v>
      </c>
      <c r="K58" s="48">
        <f t="shared" si="17"/>
        <v>0</v>
      </c>
      <c r="L58" s="23"/>
      <c r="M58" s="23">
        <f t="shared" si="24"/>
        <v>0</v>
      </c>
      <c r="N58" s="24">
        <f t="shared" si="26"/>
        <v>0</v>
      </c>
      <c r="O58" s="23">
        <v>50</v>
      </c>
      <c r="P58" s="23">
        <f t="shared" si="18"/>
        <v>1913</v>
      </c>
      <c r="Q58" s="48">
        <f t="shared" si="19"/>
        <v>1913</v>
      </c>
      <c r="R58" s="48">
        <f t="shared" si="20"/>
        <v>0</v>
      </c>
      <c r="S58" s="48">
        <f t="shared" si="21"/>
        <v>0</v>
      </c>
      <c r="T58" s="48">
        <f t="shared" si="22"/>
        <v>6886.8</v>
      </c>
      <c r="U58" s="49">
        <f t="shared" si="23"/>
        <v>75754.8</v>
      </c>
      <c r="V58" s="10">
        <f t="shared" si="25"/>
        <v>0</v>
      </c>
      <c r="W58" s="56" t="str">
        <f t="shared" si="0"/>
        <v>13</v>
      </c>
    </row>
    <row r="59" spans="1:23" ht="30.75" customHeight="1">
      <c r="A59" s="30">
        <v>14</v>
      </c>
      <c r="B59" s="22" t="s">
        <v>82</v>
      </c>
      <c r="C59" s="23">
        <v>9</v>
      </c>
      <c r="D59" s="27">
        <v>1</v>
      </c>
      <c r="E59" s="27">
        <v>3636</v>
      </c>
      <c r="F59" s="23"/>
      <c r="G59" s="23">
        <f t="shared" si="14"/>
        <v>0</v>
      </c>
      <c r="H59" s="48"/>
      <c r="I59" s="23"/>
      <c r="J59" s="23">
        <f t="shared" si="16"/>
        <v>0</v>
      </c>
      <c r="K59" s="48">
        <f t="shared" si="17"/>
        <v>0</v>
      </c>
      <c r="L59" s="23"/>
      <c r="M59" s="23">
        <f t="shared" si="24"/>
        <v>0</v>
      </c>
      <c r="N59" s="24">
        <f t="shared" si="26"/>
        <v>0</v>
      </c>
      <c r="O59" s="23"/>
      <c r="P59" s="23">
        <f t="shared" si="18"/>
        <v>0</v>
      </c>
      <c r="Q59" s="48">
        <f t="shared" si="19"/>
        <v>0</v>
      </c>
      <c r="R59" s="48">
        <f t="shared" si="20"/>
        <v>1087</v>
      </c>
      <c r="S59" s="48">
        <f t="shared" si="21"/>
        <v>1087</v>
      </c>
      <c r="T59" s="48">
        <f t="shared" si="22"/>
        <v>4723</v>
      </c>
      <c r="U59" s="49">
        <f t="shared" si="23"/>
        <v>51953</v>
      </c>
      <c r="V59" s="10">
        <f t="shared" si="25"/>
        <v>0</v>
      </c>
      <c r="W59" s="56" t="str">
        <f t="shared" si="0"/>
        <v>14</v>
      </c>
    </row>
    <row r="60" spans="1:23" ht="49.5" customHeight="1">
      <c r="A60" s="30">
        <v>15</v>
      </c>
      <c r="B60" s="22" t="s">
        <v>58</v>
      </c>
      <c r="C60" s="23">
        <v>0.7</v>
      </c>
      <c r="D60" s="27">
        <v>1</v>
      </c>
      <c r="E60" s="24">
        <v>4722.9</v>
      </c>
      <c r="F60" s="23"/>
      <c r="G60" s="23">
        <f t="shared" si="14"/>
        <v>0</v>
      </c>
      <c r="H60" s="48"/>
      <c r="I60" s="23"/>
      <c r="J60" s="23">
        <f t="shared" si="16"/>
        <v>0</v>
      </c>
      <c r="K60" s="48">
        <f t="shared" si="17"/>
        <v>0</v>
      </c>
      <c r="L60" s="23"/>
      <c r="M60" s="23">
        <f t="shared" si="24"/>
        <v>0</v>
      </c>
      <c r="N60" s="24">
        <f t="shared" si="26"/>
        <v>0</v>
      </c>
      <c r="O60" s="23">
        <v>50</v>
      </c>
      <c r="P60" s="23">
        <f t="shared" si="18"/>
        <v>2361.45</v>
      </c>
      <c r="Q60" s="48">
        <f t="shared" si="19"/>
        <v>2361.45</v>
      </c>
      <c r="R60" s="48">
        <f t="shared" si="20"/>
        <v>0</v>
      </c>
      <c r="S60" s="48">
        <f t="shared" si="21"/>
        <v>0</v>
      </c>
      <c r="T60" s="48">
        <f t="shared" si="22"/>
        <v>7084.35</v>
      </c>
      <c r="U60" s="49">
        <f t="shared" si="23"/>
        <v>77927.85</v>
      </c>
      <c r="V60" s="10"/>
      <c r="W60" s="56" t="str">
        <f t="shared" si="0"/>
        <v>15</v>
      </c>
    </row>
    <row r="61" spans="1:23" ht="39.75" customHeight="1">
      <c r="A61" s="30">
        <v>16</v>
      </c>
      <c r="B61" s="22" t="s">
        <v>83</v>
      </c>
      <c r="C61" s="23">
        <v>6</v>
      </c>
      <c r="D61" s="27">
        <v>1</v>
      </c>
      <c r="E61" s="27">
        <v>3048</v>
      </c>
      <c r="F61" s="23"/>
      <c r="G61" s="23">
        <f t="shared" si="14"/>
        <v>0</v>
      </c>
      <c r="H61" s="48"/>
      <c r="I61" s="23"/>
      <c r="J61" s="23">
        <f t="shared" si="16"/>
        <v>0</v>
      </c>
      <c r="K61" s="48">
        <f t="shared" si="17"/>
        <v>0</v>
      </c>
      <c r="L61" s="23"/>
      <c r="M61" s="23">
        <f t="shared" si="24"/>
        <v>0</v>
      </c>
      <c r="N61" s="24">
        <f t="shared" si="26"/>
        <v>0</v>
      </c>
      <c r="O61" s="23"/>
      <c r="P61" s="23">
        <f t="shared" si="18"/>
        <v>0</v>
      </c>
      <c r="Q61" s="48"/>
      <c r="R61" s="48">
        <f t="shared" si="20"/>
        <v>1675</v>
      </c>
      <c r="S61" s="48">
        <f t="shared" si="21"/>
        <v>1675</v>
      </c>
      <c r="T61" s="48">
        <f t="shared" si="22"/>
        <v>4723</v>
      </c>
      <c r="U61" s="49">
        <f t="shared" si="23"/>
        <v>51953</v>
      </c>
      <c r="V61" s="10"/>
      <c r="W61" s="56" t="str">
        <f t="shared" si="0"/>
        <v>16</v>
      </c>
    </row>
    <row r="62" spans="1:23" ht="41.25" customHeight="1">
      <c r="A62" s="30">
        <v>17</v>
      </c>
      <c r="B62" s="22" t="s">
        <v>140</v>
      </c>
      <c r="C62" s="23">
        <v>5</v>
      </c>
      <c r="D62" s="27">
        <v>1</v>
      </c>
      <c r="E62" s="27">
        <v>2859</v>
      </c>
      <c r="F62" s="23"/>
      <c r="G62" s="23">
        <f>H62*$D62</f>
        <v>0</v>
      </c>
      <c r="H62" s="48"/>
      <c r="I62" s="23"/>
      <c r="J62" s="23">
        <f>K62*$D62</f>
        <v>0</v>
      </c>
      <c r="K62" s="48">
        <f>ROUND(E62*I62/100,2)</f>
        <v>0</v>
      </c>
      <c r="L62" s="23"/>
      <c r="M62" s="23">
        <f>N62*D62</f>
        <v>0</v>
      </c>
      <c r="N62" s="24">
        <f>ROUND(E62*L62/100*D62,2)</f>
        <v>0</v>
      </c>
      <c r="O62" s="23"/>
      <c r="P62" s="23">
        <f>Q62*D62</f>
        <v>0</v>
      </c>
      <c r="Q62" s="48"/>
      <c r="R62" s="48">
        <f>S62*D62</f>
        <v>1864</v>
      </c>
      <c r="S62" s="48">
        <f>MAX($W$1-ROUND(ROUND((E62+H62+N62+K62+Q62)*D62,2)/D62,2),0)</f>
        <v>1864</v>
      </c>
      <c r="T62" s="48">
        <f>ROUND((E62+H62+N62+K62+Q62+S62)*D62,2)</f>
        <v>4723</v>
      </c>
      <c r="U62" s="49">
        <f t="shared" si="23"/>
        <v>51953</v>
      </c>
      <c r="V62" s="10"/>
      <c r="W62" s="56"/>
    </row>
    <row r="63" spans="1:23" ht="28.5" customHeight="1">
      <c r="A63" s="30">
        <v>18</v>
      </c>
      <c r="B63" s="22" t="s">
        <v>59</v>
      </c>
      <c r="C63" s="23">
        <v>10</v>
      </c>
      <c r="D63" s="27">
        <v>3</v>
      </c>
      <c r="E63" s="27">
        <v>3826</v>
      </c>
      <c r="F63" s="23"/>
      <c r="G63" s="23">
        <f t="shared" si="14"/>
        <v>0</v>
      </c>
      <c r="H63" s="48"/>
      <c r="I63" s="23"/>
      <c r="J63" s="23">
        <f t="shared" si="16"/>
        <v>0</v>
      </c>
      <c r="K63" s="48">
        <f t="shared" si="17"/>
        <v>0</v>
      </c>
      <c r="L63" s="23">
        <v>15</v>
      </c>
      <c r="M63" s="23">
        <f t="shared" si="24"/>
        <v>1721.6999999999998</v>
      </c>
      <c r="N63" s="24">
        <f>ROUND(E63*L63/100,2)</f>
        <v>573.9</v>
      </c>
      <c r="O63" s="23"/>
      <c r="P63" s="23">
        <f t="shared" si="18"/>
        <v>0</v>
      </c>
      <c r="Q63" s="48"/>
      <c r="R63" s="48">
        <f t="shared" si="20"/>
        <v>0</v>
      </c>
      <c r="S63" s="48"/>
      <c r="T63" s="48">
        <f t="shared" si="22"/>
        <v>13199.7</v>
      </c>
      <c r="U63" s="49">
        <f t="shared" si="23"/>
        <v>145196.7</v>
      </c>
      <c r="V63" s="10"/>
      <c r="W63" s="56" t="str">
        <f t="shared" si="0"/>
        <v>18</v>
      </c>
    </row>
    <row r="64" spans="1:23" ht="33.75" customHeight="1">
      <c r="A64" s="30">
        <v>19</v>
      </c>
      <c r="B64" s="22" t="s">
        <v>69</v>
      </c>
      <c r="C64" s="23">
        <v>9</v>
      </c>
      <c r="D64" s="27">
        <v>2</v>
      </c>
      <c r="E64" s="27">
        <v>3636</v>
      </c>
      <c r="F64" s="23"/>
      <c r="G64" s="23">
        <f t="shared" si="14"/>
        <v>0</v>
      </c>
      <c r="H64" s="48"/>
      <c r="I64" s="23"/>
      <c r="J64" s="23">
        <f t="shared" si="16"/>
        <v>0</v>
      </c>
      <c r="K64" s="48">
        <f t="shared" si="17"/>
        <v>0</v>
      </c>
      <c r="L64" s="23">
        <v>15</v>
      </c>
      <c r="M64" s="23">
        <f t="shared" si="24"/>
        <v>1090.8</v>
      </c>
      <c r="N64" s="24">
        <f>ROUND(E64*L64/100,2)</f>
        <v>545.4</v>
      </c>
      <c r="O64" s="23"/>
      <c r="P64" s="23">
        <f t="shared" si="18"/>
        <v>0</v>
      </c>
      <c r="Q64" s="48"/>
      <c r="R64" s="48">
        <f t="shared" si="20"/>
        <v>0</v>
      </c>
      <c r="S64" s="48"/>
      <c r="T64" s="48">
        <f t="shared" si="22"/>
        <v>8362.8</v>
      </c>
      <c r="U64" s="49">
        <f t="shared" si="23"/>
        <v>91990.8</v>
      </c>
      <c r="V64" s="10"/>
      <c r="W64" s="56" t="str">
        <f t="shared" si="0"/>
        <v>19</v>
      </c>
    </row>
    <row r="65" spans="1:23" ht="80.25" customHeight="1">
      <c r="A65" s="30">
        <v>20</v>
      </c>
      <c r="B65" s="22" t="s">
        <v>60</v>
      </c>
      <c r="C65" s="23">
        <v>10</v>
      </c>
      <c r="D65" s="27">
        <v>1</v>
      </c>
      <c r="E65" s="27">
        <v>3826</v>
      </c>
      <c r="F65" s="23"/>
      <c r="G65" s="23">
        <f t="shared" si="14"/>
        <v>0</v>
      </c>
      <c r="H65" s="48"/>
      <c r="I65" s="23"/>
      <c r="J65" s="23">
        <f t="shared" si="16"/>
        <v>0</v>
      </c>
      <c r="K65" s="48">
        <f t="shared" si="17"/>
        <v>0</v>
      </c>
      <c r="L65" s="23"/>
      <c r="M65" s="23">
        <f t="shared" si="24"/>
        <v>0</v>
      </c>
      <c r="N65" s="24"/>
      <c r="O65" s="23"/>
      <c r="P65" s="23">
        <f t="shared" si="18"/>
        <v>0</v>
      </c>
      <c r="Q65" s="48"/>
      <c r="R65" s="48">
        <f t="shared" si="20"/>
        <v>897</v>
      </c>
      <c r="S65" s="48">
        <f t="shared" si="21"/>
        <v>897</v>
      </c>
      <c r="T65" s="48">
        <f t="shared" si="22"/>
        <v>4723</v>
      </c>
      <c r="U65" s="49">
        <f t="shared" si="23"/>
        <v>51953</v>
      </c>
      <c r="V65" s="10"/>
      <c r="W65" s="56" t="str">
        <f t="shared" si="0"/>
        <v>20</v>
      </c>
    </row>
    <row r="66" spans="1:23" ht="32.25" customHeight="1">
      <c r="A66" s="30">
        <v>21</v>
      </c>
      <c r="B66" s="22" t="s">
        <v>68</v>
      </c>
      <c r="C66" s="23">
        <v>8</v>
      </c>
      <c r="D66" s="27">
        <v>1</v>
      </c>
      <c r="E66" s="27">
        <v>3447</v>
      </c>
      <c r="F66" s="23"/>
      <c r="G66" s="23">
        <f t="shared" si="14"/>
        <v>0</v>
      </c>
      <c r="H66" s="48"/>
      <c r="I66" s="23"/>
      <c r="J66" s="23">
        <f t="shared" si="16"/>
        <v>0</v>
      </c>
      <c r="K66" s="48">
        <f t="shared" si="17"/>
        <v>0</v>
      </c>
      <c r="L66" s="23"/>
      <c r="M66" s="23">
        <f t="shared" si="24"/>
        <v>0</v>
      </c>
      <c r="N66" s="24"/>
      <c r="O66" s="23"/>
      <c r="P66" s="23">
        <f t="shared" si="18"/>
        <v>0</v>
      </c>
      <c r="Q66" s="48"/>
      <c r="R66" s="48">
        <f t="shared" si="20"/>
        <v>1276</v>
      </c>
      <c r="S66" s="48">
        <f t="shared" si="21"/>
        <v>1276</v>
      </c>
      <c r="T66" s="48">
        <f t="shared" si="22"/>
        <v>4723</v>
      </c>
      <c r="U66" s="49">
        <f t="shared" si="23"/>
        <v>51953</v>
      </c>
      <c r="V66" s="10"/>
      <c r="W66" s="56" t="str">
        <f t="shared" si="0"/>
        <v>21</v>
      </c>
    </row>
    <row r="67" spans="1:23" ht="31.5" customHeight="1">
      <c r="A67" s="30">
        <v>22</v>
      </c>
      <c r="B67" s="22" t="s">
        <v>67</v>
      </c>
      <c r="C67" s="23">
        <v>5</v>
      </c>
      <c r="D67" s="27">
        <v>1</v>
      </c>
      <c r="E67" s="27">
        <v>2859</v>
      </c>
      <c r="F67" s="23"/>
      <c r="G67" s="23">
        <f t="shared" si="14"/>
        <v>0</v>
      </c>
      <c r="H67" s="48"/>
      <c r="I67" s="23"/>
      <c r="J67" s="23">
        <f t="shared" si="16"/>
        <v>0</v>
      </c>
      <c r="K67" s="48">
        <f t="shared" si="17"/>
        <v>0</v>
      </c>
      <c r="L67" s="23"/>
      <c r="M67" s="23">
        <f t="shared" si="24"/>
        <v>0</v>
      </c>
      <c r="N67" s="24"/>
      <c r="O67" s="23"/>
      <c r="P67" s="23">
        <f t="shared" si="18"/>
        <v>0</v>
      </c>
      <c r="Q67" s="48"/>
      <c r="R67" s="48">
        <f t="shared" si="20"/>
        <v>1864</v>
      </c>
      <c r="S67" s="48">
        <f t="shared" si="21"/>
        <v>1864</v>
      </c>
      <c r="T67" s="48">
        <f t="shared" si="22"/>
        <v>4723</v>
      </c>
      <c r="U67" s="49">
        <f t="shared" si="23"/>
        <v>51953</v>
      </c>
      <c r="V67" s="10"/>
      <c r="W67" s="56" t="str">
        <f t="shared" si="0"/>
        <v>22</v>
      </c>
    </row>
    <row r="68" spans="1:23" ht="33" customHeight="1">
      <c r="A68" s="30">
        <v>23</v>
      </c>
      <c r="B68" s="22" t="s">
        <v>137</v>
      </c>
      <c r="C68" s="23">
        <v>5</v>
      </c>
      <c r="D68" s="27">
        <v>1</v>
      </c>
      <c r="E68" s="27">
        <v>2859</v>
      </c>
      <c r="F68" s="23"/>
      <c r="G68" s="23">
        <f>H68*$D68</f>
        <v>0</v>
      </c>
      <c r="H68" s="48"/>
      <c r="I68" s="23"/>
      <c r="J68" s="23">
        <f>K68*$D68</f>
        <v>0</v>
      </c>
      <c r="K68" s="48">
        <f>ROUND(E68*I68/100,2)</f>
        <v>0</v>
      </c>
      <c r="L68" s="23"/>
      <c r="M68" s="23">
        <f>N68*D68</f>
        <v>0</v>
      </c>
      <c r="N68" s="24"/>
      <c r="O68" s="23"/>
      <c r="P68" s="23">
        <f>Q68*D68</f>
        <v>0</v>
      </c>
      <c r="Q68" s="48"/>
      <c r="R68" s="48">
        <f>S68*D68</f>
        <v>1864</v>
      </c>
      <c r="S68" s="48">
        <f>MAX($W$1-ROUND(ROUND((E68+H68+N68+K68+Q68)*D68,2)/D68,2),0)</f>
        <v>1864</v>
      </c>
      <c r="T68" s="48">
        <f>ROUND((E68+H68+N68+K68+Q68+S68)*D68,2)</f>
        <v>4723</v>
      </c>
      <c r="U68" s="49">
        <f t="shared" si="23"/>
        <v>51953</v>
      </c>
      <c r="V68" s="10"/>
      <c r="W68" s="56"/>
    </row>
    <row r="69" spans="1:23" ht="37.5" customHeight="1">
      <c r="A69" s="30">
        <v>24</v>
      </c>
      <c r="B69" s="22" t="s">
        <v>90</v>
      </c>
      <c r="C69" s="23">
        <v>7</v>
      </c>
      <c r="D69" s="27">
        <v>1</v>
      </c>
      <c r="E69" s="27">
        <v>3237</v>
      </c>
      <c r="F69" s="23"/>
      <c r="G69" s="23">
        <f>H69*$D69</f>
        <v>0</v>
      </c>
      <c r="H69" s="48"/>
      <c r="I69" s="23"/>
      <c r="J69" s="23">
        <f>K69*$D69</f>
        <v>0</v>
      </c>
      <c r="K69" s="48">
        <f>ROUND(E69*I69/100,2)</f>
        <v>0</v>
      </c>
      <c r="L69" s="23"/>
      <c r="M69" s="23">
        <f>N69*D69</f>
        <v>0</v>
      </c>
      <c r="N69" s="24"/>
      <c r="O69" s="23"/>
      <c r="P69" s="23">
        <f>Q69*D69</f>
        <v>0</v>
      </c>
      <c r="Q69" s="48"/>
      <c r="R69" s="48">
        <f>S69*D69</f>
        <v>1486</v>
      </c>
      <c r="S69" s="48">
        <f>MAX($W$1-ROUND(ROUND((E69+H69+N69+K69+Q69)*D69,2)/D69,2),0)</f>
        <v>1486</v>
      </c>
      <c r="T69" s="48">
        <f>ROUND((E69+H69+N69+K69+Q69+S69)*D69,2)</f>
        <v>4723</v>
      </c>
      <c r="U69" s="49">
        <f t="shared" si="23"/>
        <v>51953</v>
      </c>
      <c r="V69" s="10"/>
      <c r="W69" s="56"/>
    </row>
    <row r="70" spans="1:23" ht="27" customHeight="1">
      <c r="A70" s="30">
        <v>25</v>
      </c>
      <c r="B70" s="22" t="s">
        <v>138</v>
      </c>
      <c r="C70" s="23">
        <v>5</v>
      </c>
      <c r="D70" s="27">
        <v>1</v>
      </c>
      <c r="E70" s="27">
        <v>2859</v>
      </c>
      <c r="F70" s="23"/>
      <c r="G70" s="23">
        <f>H70*$D70</f>
        <v>0</v>
      </c>
      <c r="H70" s="48"/>
      <c r="I70" s="23"/>
      <c r="J70" s="23">
        <f>K70*$D70</f>
        <v>0</v>
      </c>
      <c r="K70" s="48">
        <f>ROUND(E70*I70/100,2)</f>
        <v>0</v>
      </c>
      <c r="L70" s="23"/>
      <c r="M70" s="23">
        <f>N70*D70</f>
        <v>0</v>
      </c>
      <c r="N70" s="24"/>
      <c r="O70" s="23"/>
      <c r="P70" s="23">
        <f>Q70*D70</f>
        <v>0</v>
      </c>
      <c r="Q70" s="48"/>
      <c r="R70" s="48">
        <f>S70*D70</f>
        <v>1864</v>
      </c>
      <c r="S70" s="48">
        <f>MAX($W$1-ROUND(ROUND((E70+H70+N70+K70+Q70)*D70,2)/D70,2),0)</f>
        <v>1864</v>
      </c>
      <c r="T70" s="48">
        <f>ROUND((E70+H70+N70+K70+Q70+S70)*D70,2)</f>
        <v>4723</v>
      </c>
      <c r="U70" s="49">
        <f t="shared" si="23"/>
        <v>51953</v>
      </c>
      <c r="V70" s="10"/>
      <c r="W70" s="56"/>
    </row>
    <row r="71" spans="1:23" ht="30" customHeight="1">
      <c r="A71" s="30">
        <v>26</v>
      </c>
      <c r="B71" s="22" t="s">
        <v>61</v>
      </c>
      <c r="C71" s="23">
        <v>7</v>
      </c>
      <c r="D71" s="27">
        <v>1</v>
      </c>
      <c r="E71" s="27">
        <v>3237</v>
      </c>
      <c r="F71" s="23"/>
      <c r="G71" s="23">
        <f t="shared" si="14"/>
        <v>0</v>
      </c>
      <c r="H71" s="48"/>
      <c r="I71" s="23"/>
      <c r="J71" s="23">
        <f t="shared" si="16"/>
        <v>0</v>
      </c>
      <c r="K71" s="48">
        <f t="shared" si="17"/>
        <v>0</v>
      </c>
      <c r="L71" s="23"/>
      <c r="M71" s="23">
        <f t="shared" si="24"/>
        <v>0</v>
      </c>
      <c r="N71" s="24"/>
      <c r="O71" s="23"/>
      <c r="P71" s="23">
        <f t="shared" si="18"/>
        <v>0</v>
      </c>
      <c r="Q71" s="48"/>
      <c r="R71" s="48">
        <f t="shared" si="20"/>
        <v>1486</v>
      </c>
      <c r="S71" s="48">
        <f t="shared" si="21"/>
        <v>1486</v>
      </c>
      <c r="T71" s="48">
        <f t="shared" si="22"/>
        <v>4723</v>
      </c>
      <c r="U71" s="49">
        <f t="shared" si="23"/>
        <v>51953</v>
      </c>
      <c r="V71" s="10"/>
      <c r="W71" s="56" t="str">
        <f t="shared" si="0"/>
        <v>26</v>
      </c>
    </row>
    <row r="72" spans="1:23" ht="30" customHeight="1">
      <c r="A72" s="30">
        <v>27</v>
      </c>
      <c r="B72" s="53" t="s">
        <v>91</v>
      </c>
      <c r="C72" s="23">
        <v>8</v>
      </c>
      <c r="D72" s="23">
        <v>1</v>
      </c>
      <c r="E72" s="23">
        <v>3447</v>
      </c>
      <c r="F72" s="23"/>
      <c r="G72" s="23">
        <f>H72*$D72</f>
        <v>0</v>
      </c>
      <c r="H72" s="23"/>
      <c r="I72" s="23"/>
      <c r="J72" s="23">
        <f>K72*$D72</f>
        <v>0</v>
      </c>
      <c r="K72" s="23"/>
      <c r="L72" s="23"/>
      <c r="M72" s="23">
        <f>N72*D72</f>
        <v>0</v>
      </c>
      <c r="N72" s="23"/>
      <c r="O72" s="23"/>
      <c r="P72" s="23">
        <f>Q72*D72</f>
        <v>0</v>
      </c>
      <c r="Q72" s="23"/>
      <c r="R72" s="48">
        <f>S72*D72</f>
        <v>1276</v>
      </c>
      <c r="S72" s="48">
        <f>MAX($W$1-ROUND(ROUND((E72+H72+N72+K72+Q72)*D72,2)/D72,2),0)</f>
        <v>1276</v>
      </c>
      <c r="T72" s="48">
        <f>ROUND((E72+H72+N72+K72+Q72+S72)*D72,2)</f>
        <v>4723</v>
      </c>
      <c r="U72" s="49">
        <f t="shared" si="23"/>
        <v>51953</v>
      </c>
      <c r="V72" s="10"/>
      <c r="W72" s="56"/>
    </row>
    <row r="73" spans="1:23" ht="30" customHeight="1" thickBot="1">
      <c r="A73" s="30">
        <v>28</v>
      </c>
      <c r="B73" s="59" t="s">
        <v>93</v>
      </c>
      <c r="C73" s="60">
        <v>5</v>
      </c>
      <c r="D73" s="60">
        <v>1</v>
      </c>
      <c r="E73" s="60">
        <v>2859</v>
      </c>
      <c r="F73" s="60"/>
      <c r="G73" s="60">
        <f>H73*$D73</f>
        <v>0</v>
      </c>
      <c r="H73" s="60"/>
      <c r="I73" s="60"/>
      <c r="J73" s="60">
        <f>K73*$D73</f>
        <v>0</v>
      </c>
      <c r="K73" s="60"/>
      <c r="L73" s="60"/>
      <c r="M73" s="60">
        <f>N73*D73</f>
        <v>0</v>
      </c>
      <c r="N73" s="60"/>
      <c r="O73" s="60"/>
      <c r="P73" s="60">
        <f>Q73*D73</f>
        <v>0</v>
      </c>
      <c r="Q73" s="60"/>
      <c r="R73" s="48">
        <f>S73*D73</f>
        <v>1864</v>
      </c>
      <c r="S73" s="48">
        <f>MAX($W$1-ROUND(ROUND((E73+H73+N73+K73+Q73)*D73,2)/D73,2),0)</f>
        <v>1864</v>
      </c>
      <c r="T73" s="48">
        <f>ROUND((E73+H73+N73+K73+Q73+S73)*D73,2)</f>
        <v>4723</v>
      </c>
      <c r="U73" s="49">
        <f t="shared" si="23"/>
        <v>51953</v>
      </c>
      <c r="V73" s="10"/>
      <c r="W73" s="56"/>
    </row>
    <row r="74" spans="1:23" ht="31.5" customHeight="1" thickBot="1">
      <c r="A74" s="222" t="s">
        <v>55</v>
      </c>
      <c r="B74" s="223"/>
      <c r="C74" s="25" t="s">
        <v>15</v>
      </c>
      <c r="D74" s="26">
        <f>SUM(D46:D73)</f>
        <v>36</v>
      </c>
      <c r="E74" s="50">
        <f>T74-H74-N74-K74-Q74-S74</f>
        <v>126638.5</v>
      </c>
      <c r="F74" s="25" t="s">
        <v>15</v>
      </c>
      <c r="G74" s="25"/>
      <c r="H74" s="50">
        <f>ROUND(SUM(G46:G73),2)</f>
        <v>2484.6</v>
      </c>
      <c r="I74" s="25" t="s">
        <v>15</v>
      </c>
      <c r="J74" s="25"/>
      <c r="K74" s="50">
        <f>ROUND(SUM(J46:J71),2)</f>
        <v>0</v>
      </c>
      <c r="L74" s="25" t="s">
        <v>15</v>
      </c>
      <c r="M74" s="25"/>
      <c r="N74" s="50">
        <f>ROUND(SUM(M46:M73),2)</f>
        <v>4634.2</v>
      </c>
      <c r="O74" s="25" t="s">
        <v>15</v>
      </c>
      <c r="P74" s="25"/>
      <c r="Q74" s="50">
        <f>ROUND(SUM(P46:P73),2)</f>
        <v>7109.68</v>
      </c>
      <c r="R74" s="50"/>
      <c r="S74" s="50">
        <f>ROUND(SUM(R46:R73),2)</f>
        <v>40059</v>
      </c>
      <c r="T74" s="50">
        <f>SUM(T46:T73)</f>
        <v>180925.98</v>
      </c>
      <c r="U74" s="51">
        <f>SUM(U46:U73)</f>
        <v>1990185.78</v>
      </c>
      <c r="V74" s="10"/>
      <c r="W74" s="56" t="str">
        <f t="shared" si="0"/>
        <v>Всього</v>
      </c>
    </row>
    <row r="75" spans="1:23" ht="28.5" customHeight="1">
      <c r="A75" s="224" t="s">
        <v>84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6"/>
      <c r="V75" s="10">
        <f>IF(D75&gt;0,IF((U75/D75-Q75)&gt;$W$1,0,($W$1-(U75/D75-Q75))*D75),0)</f>
        <v>0</v>
      </c>
      <c r="W75" s="56" t="str">
        <f t="shared" si="0"/>
        <v>1.4.Ро</v>
      </c>
    </row>
    <row r="76" spans="1:23" ht="45.75" customHeight="1">
      <c r="A76" s="30">
        <v>1</v>
      </c>
      <c r="B76" s="22" t="s">
        <v>21</v>
      </c>
      <c r="C76" s="23">
        <v>2</v>
      </c>
      <c r="D76" s="27">
        <v>14</v>
      </c>
      <c r="E76" s="27">
        <v>2291</v>
      </c>
      <c r="F76" s="23"/>
      <c r="G76" s="23">
        <f aca="true" t="shared" si="27" ref="G76:G81">H76*$D76</f>
        <v>0</v>
      </c>
      <c r="H76" s="48">
        <f>E76*F76/100</f>
        <v>0</v>
      </c>
      <c r="I76" s="23"/>
      <c r="J76" s="23">
        <f aca="true" t="shared" si="28" ref="J76:J81">K76*$D76</f>
        <v>0</v>
      </c>
      <c r="K76" s="48">
        <f>ROUND(E76*I76/100,2)</f>
        <v>0</v>
      </c>
      <c r="L76" s="23"/>
      <c r="M76" s="23">
        <f aca="true" t="shared" si="29" ref="M76:M81">N76*D76</f>
        <v>0</v>
      </c>
      <c r="N76" s="48">
        <f>ROUND(E76*L76/100*D76,2)</f>
        <v>0</v>
      </c>
      <c r="O76" s="23">
        <v>10</v>
      </c>
      <c r="P76" s="23">
        <f aca="true" t="shared" si="30" ref="P76:P81">Q76*D76</f>
        <v>3207.4</v>
      </c>
      <c r="Q76" s="48">
        <f>E76*O76/100</f>
        <v>229.1</v>
      </c>
      <c r="R76" s="48">
        <f aca="true" t="shared" si="31" ref="R76:R81">S76*D76</f>
        <v>34048</v>
      </c>
      <c r="S76" s="48">
        <f>MAX($W$1-ROUND(ROUND((E76+H76+N76+K76)*D76,2)/D76,2),0)</f>
        <v>2432</v>
      </c>
      <c r="T76" s="48">
        <f aca="true" t="shared" si="32" ref="T76:T81">ROUND((E76+H76+N76+K76+Q76+S76)*D76,2)</f>
        <v>69329.4</v>
      </c>
      <c r="U76" s="49">
        <f aca="true" t="shared" si="33" ref="U76:U81">ROUND(SUM(T76*$W$7),2)</f>
        <v>762623.4</v>
      </c>
      <c r="V76" s="10"/>
      <c r="W76" s="56" t="str">
        <f t="shared" si="0"/>
        <v>1</v>
      </c>
    </row>
    <row r="77" spans="1:23" ht="31.5" customHeight="1">
      <c r="A77" s="30">
        <v>2</v>
      </c>
      <c r="B77" s="22" t="s">
        <v>23</v>
      </c>
      <c r="C77" s="23">
        <v>2</v>
      </c>
      <c r="D77" s="27">
        <v>6</v>
      </c>
      <c r="E77" s="27">
        <v>2291</v>
      </c>
      <c r="F77" s="23"/>
      <c r="G77" s="23">
        <f t="shared" si="27"/>
        <v>0</v>
      </c>
      <c r="H77" s="48">
        <f>E77*F77/100</f>
        <v>0</v>
      </c>
      <c r="I77" s="23"/>
      <c r="J77" s="23">
        <f t="shared" si="28"/>
        <v>0</v>
      </c>
      <c r="K77" s="48">
        <f>ROUND(E77*I77/100,2)</f>
        <v>0</v>
      </c>
      <c r="L77" s="23">
        <v>0</v>
      </c>
      <c r="M77" s="23">
        <f t="shared" si="29"/>
        <v>0</v>
      </c>
      <c r="N77" s="48"/>
      <c r="O77" s="23">
        <v>13</v>
      </c>
      <c r="P77" s="23">
        <f t="shared" si="30"/>
        <v>1786.98</v>
      </c>
      <c r="Q77" s="48">
        <f>E77*O77/100</f>
        <v>297.83</v>
      </c>
      <c r="R77" s="48">
        <f t="shared" si="31"/>
        <v>14592</v>
      </c>
      <c r="S77" s="48">
        <f>MAX($W$1-ROUND(ROUND((E77+H77+N77+K77)*D77,2)/D77,2),0)</f>
        <v>2432</v>
      </c>
      <c r="T77" s="48">
        <f t="shared" si="32"/>
        <v>30124.98</v>
      </c>
      <c r="U77" s="49">
        <f t="shared" si="33"/>
        <v>331374.78</v>
      </c>
      <c r="V77" s="10"/>
      <c r="W77" s="56" t="str">
        <f t="shared" si="0"/>
        <v>2</v>
      </c>
    </row>
    <row r="78" spans="1:23" ht="30" customHeight="1">
      <c r="A78" s="30">
        <v>3</v>
      </c>
      <c r="B78" s="22" t="s">
        <v>22</v>
      </c>
      <c r="C78" s="23">
        <v>1</v>
      </c>
      <c r="D78" s="27">
        <v>2</v>
      </c>
      <c r="E78" s="27">
        <v>2102</v>
      </c>
      <c r="F78" s="23">
        <v>0</v>
      </c>
      <c r="G78" s="23">
        <f t="shared" si="27"/>
        <v>0</v>
      </c>
      <c r="H78" s="48"/>
      <c r="I78" s="23"/>
      <c r="J78" s="23">
        <f t="shared" si="28"/>
        <v>0</v>
      </c>
      <c r="K78" s="48"/>
      <c r="L78" s="23"/>
      <c r="M78" s="23">
        <f t="shared" si="29"/>
        <v>0</v>
      </c>
      <c r="N78" s="48"/>
      <c r="O78" s="23"/>
      <c r="P78" s="23">
        <f t="shared" si="30"/>
        <v>0</v>
      </c>
      <c r="Q78" s="48"/>
      <c r="R78" s="48">
        <f t="shared" si="31"/>
        <v>5242</v>
      </c>
      <c r="S78" s="48">
        <f>MAX($W$1-ROUND(ROUND((E78+H78+N78+K78)*D78,2)/D78,2),0)</f>
        <v>2621</v>
      </c>
      <c r="T78" s="48">
        <f t="shared" si="32"/>
        <v>9446</v>
      </c>
      <c r="U78" s="49">
        <f t="shared" si="33"/>
        <v>103906</v>
      </c>
      <c r="V78" s="10">
        <f>IF(D78&gt;0,IF((U78/D78-Q78)&gt;$W$1,0,($W$1-(U78/D78-Q78))*D78),0)</f>
        <v>0</v>
      </c>
      <c r="W78" s="56" t="str">
        <f t="shared" si="0"/>
        <v>3</v>
      </c>
    </row>
    <row r="79" spans="1:23" ht="44.25" customHeight="1">
      <c r="A79" s="30">
        <v>4</v>
      </c>
      <c r="B79" s="22" t="s">
        <v>85</v>
      </c>
      <c r="C79" s="23">
        <v>2</v>
      </c>
      <c r="D79" s="27">
        <v>4</v>
      </c>
      <c r="E79" s="27">
        <v>2291</v>
      </c>
      <c r="F79" s="23"/>
      <c r="G79" s="23">
        <f t="shared" si="27"/>
        <v>0</v>
      </c>
      <c r="H79" s="48"/>
      <c r="I79" s="23"/>
      <c r="J79" s="23">
        <f t="shared" si="28"/>
        <v>0</v>
      </c>
      <c r="K79" s="48"/>
      <c r="L79" s="23"/>
      <c r="M79" s="23">
        <f t="shared" si="29"/>
        <v>0</v>
      </c>
      <c r="N79" s="48"/>
      <c r="O79" s="23"/>
      <c r="P79" s="23">
        <f t="shared" si="30"/>
        <v>0</v>
      </c>
      <c r="Q79" s="48"/>
      <c r="R79" s="48">
        <f t="shared" si="31"/>
        <v>9728</v>
      </c>
      <c r="S79" s="48">
        <f>MAX($W$1-ROUND(ROUND((E79+H79+N79+K79)*D79,2)/D79,2),0)</f>
        <v>2432</v>
      </c>
      <c r="T79" s="48">
        <f t="shared" si="32"/>
        <v>18892</v>
      </c>
      <c r="U79" s="49">
        <f t="shared" si="33"/>
        <v>207812</v>
      </c>
      <c r="V79" s="10">
        <f>IF(D79&gt;0,IF((U79/D79-Q79)&gt;$W$1,0,($W$1-(U79/D79-Q79))*D79),0)</f>
        <v>0</v>
      </c>
      <c r="W79" s="56" t="str">
        <f t="shared" si="0"/>
        <v>4</v>
      </c>
    </row>
    <row r="80" spans="1:23" ht="32.25" customHeight="1">
      <c r="A80" s="30">
        <v>5</v>
      </c>
      <c r="B80" s="22" t="s">
        <v>86</v>
      </c>
      <c r="C80" s="23">
        <v>2</v>
      </c>
      <c r="D80" s="27">
        <v>3</v>
      </c>
      <c r="E80" s="27">
        <v>2291</v>
      </c>
      <c r="F80" s="23"/>
      <c r="G80" s="23">
        <f t="shared" si="27"/>
        <v>0</v>
      </c>
      <c r="H80" s="48"/>
      <c r="I80" s="23"/>
      <c r="J80" s="23">
        <f t="shared" si="28"/>
        <v>0</v>
      </c>
      <c r="K80" s="48"/>
      <c r="L80" s="23"/>
      <c r="M80" s="23">
        <f t="shared" si="29"/>
        <v>0</v>
      </c>
      <c r="N80" s="48"/>
      <c r="O80" s="23"/>
      <c r="P80" s="23">
        <f t="shared" si="30"/>
        <v>0</v>
      </c>
      <c r="Q80" s="48"/>
      <c r="R80" s="48">
        <f t="shared" si="31"/>
        <v>7296</v>
      </c>
      <c r="S80" s="48">
        <f>MAX($W$1-ROUND(ROUND((E80+H80+N80+K80)*D80,2)/D80,2),0)</f>
        <v>2432</v>
      </c>
      <c r="T80" s="48">
        <f t="shared" si="32"/>
        <v>14169</v>
      </c>
      <c r="U80" s="49">
        <f t="shared" si="33"/>
        <v>155859</v>
      </c>
      <c r="V80" s="10">
        <f>IF(D80&gt;0,IF((U80/D80-Q80)&gt;$W$1,0,($W$1-(U80/D80-Q80))*D80),0)</f>
        <v>0</v>
      </c>
      <c r="W80" s="56" t="str">
        <f aca="true" t="shared" si="34" ref="W80:W91">LEFT(A80,6)</f>
        <v>5</v>
      </c>
    </row>
    <row r="81" spans="1:23" ht="27" customHeight="1" thickBot="1">
      <c r="A81" s="79">
        <v>6</v>
      </c>
      <c r="B81" s="47" t="s">
        <v>62</v>
      </c>
      <c r="C81" s="60">
        <v>2</v>
      </c>
      <c r="D81" s="81">
        <v>1.5</v>
      </c>
      <c r="E81" s="80">
        <v>2291</v>
      </c>
      <c r="F81" s="60"/>
      <c r="G81" s="60">
        <f t="shared" si="27"/>
        <v>0</v>
      </c>
      <c r="H81" s="71"/>
      <c r="I81" s="60"/>
      <c r="J81" s="60">
        <f t="shared" si="28"/>
        <v>0</v>
      </c>
      <c r="K81" s="71"/>
      <c r="L81" s="60"/>
      <c r="M81" s="60">
        <f t="shared" si="29"/>
        <v>0</v>
      </c>
      <c r="N81" s="71"/>
      <c r="O81" s="60"/>
      <c r="P81" s="60">
        <f t="shared" si="30"/>
        <v>0</v>
      </c>
      <c r="Q81" s="71"/>
      <c r="R81" s="48">
        <f t="shared" si="31"/>
        <v>3648</v>
      </c>
      <c r="S81" s="48">
        <f>MAX($W$1-ROUND(ROUND((E81+H81+N81+K81+Q81)*D81,2)/D81,2),0)</f>
        <v>2432</v>
      </c>
      <c r="T81" s="48">
        <f t="shared" si="32"/>
        <v>7084.5</v>
      </c>
      <c r="U81" s="52">
        <f t="shared" si="33"/>
        <v>77929.5</v>
      </c>
      <c r="V81" s="10">
        <f>IF(D81&gt;0,IF((U81/D81-Q81)&gt;$W$1,0,($W$1-(U81/D81-Q81))*D81),0)</f>
        <v>0</v>
      </c>
      <c r="W81" s="56" t="str">
        <f t="shared" si="34"/>
        <v>6</v>
      </c>
    </row>
    <row r="82" spans="1:23" ht="30" customHeight="1" thickBot="1">
      <c r="A82" s="222" t="s">
        <v>56</v>
      </c>
      <c r="B82" s="223"/>
      <c r="C82" s="25" t="s">
        <v>15</v>
      </c>
      <c r="D82" s="26">
        <f>SUM(D76:D81)</f>
        <v>30.5</v>
      </c>
      <c r="E82" s="50">
        <f>T82-H82-N82-K82-Q82-S82</f>
        <v>69497.5</v>
      </c>
      <c r="F82" s="25" t="s">
        <v>15</v>
      </c>
      <c r="G82" s="25"/>
      <c r="H82" s="50">
        <f>ROUND(SUM(G76:G81),2)</f>
        <v>0</v>
      </c>
      <c r="I82" s="25" t="s">
        <v>15</v>
      </c>
      <c r="J82" s="25"/>
      <c r="K82" s="50">
        <f>ROUND(SUM(J76:J81),2)</f>
        <v>0</v>
      </c>
      <c r="L82" s="25" t="s">
        <v>15</v>
      </c>
      <c r="M82" s="25"/>
      <c r="N82" s="50">
        <f>ROUND(SUM(M76:M81),2)</f>
        <v>0</v>
      </c>
      <c r="O82" s="25" t="s">
        <v>15</v>
      </c>
      <c r="P82" s="25"/>
      <c r="Q82" s="50">
        <f>ROUND(SUM(P76:P81),2)</f>
        <v>4994.38</v>
      </c>
      <c r="R82" s="50"/>
      <c r="S82" s="50">
        <f>ROUND(SUM(R76:R81),2)</f>
        <v>74554</v>
      </c>
      <c r="T82" s="50">
        <f>SUM(T76:T81)</f>
        <v>149045.88</v>
      </c>
      <c r="U82" s="51">
        <f>SUM(U76:U81)</f>
        <v>1639504.6800000002</v>
      </c>
      <c r="W82" s="56" t="str">
        <f t="shared" si="34"/>
        <v>Всього</v>
      </c>
    </row>
    <row r="83" spans="1:23" ht="30" customHeight="1" thickBot="1">
      <c r="A83" s="222" t="s">
        <v>24</v>
      </c>
      <c r="B83" s="223"/>
      <c r="C83" s="76" t="s">
        <v>96</v>
      </c>
      <c r="D83" s="26">
        <f>SUMIF($W$15:$W$82,"Всього",D15:D82)</f>
        <v>101.5</v>
      </c>
      <c r="E83" s="50">
        <f>T83-H83-N83-K83-Q83-S83</f>
        <v>387187.9500000001</v>
      </c>
      <c r="F83" s="25" t="s">
        <v>15</v>
      </c>
      <c r="G83" s="25"/>
      <c r="H83" s="50">
        <f>SUMIF($W$15:$W$82,"Всього",H15:HH82)</f>
        <v>45454.41</v>
      </c>
      <c r="I83" s="25" t="s">
        <v>15</v>
      </c>
      <c r="J83" s="25"/>
      <c r="K83" s="50">
        <f>SUMIF($W$15:$W$82,"Всього",K15:HK82)</f>
        <v>28657.83</v>
      </c>
      <c r="L83" s="25" t="s">
        <v>15</v>
      </c>
      <c r="M83" s="25"/>
      <c r="N83" s="50">
        <f>SUMIF($W$15:$W$82,"Всього",N15:HK82)</f>
        <v>8307.95</v>
      </c>
      <c r="O83" s="25" t="s">
        <v>15</v>
      </c>
      <c r="P83" s="25"/>
      <c r="Q83" s="50">
        <f>SUMIF($W$15:$W$82,"Всього",Q15:HQ82)</f>
        <v>25630.8</v>
      </c>
      <c r="R83" s="50"/>
      <c r="S83" s="50">
        <f>SUMIF($W$15:$W$82,"Всього",S15:HR82)</f>
        <v>114613</v>
      </c>
      <c r="T83" s="50">
        <f>SUMIF($W$15:$W$82,"Всього",T15:T82)</f>
        <v>609851.9400000001</v>
      </c>
      <c r="U83" s="51">
        <f>SUMIF($W$15:$W$82,"Всього",U15:HS82)</f>
        <v>6708371.34</v>
      </c>
      <c r="V83" s="10"/>
      <c r="W83" s="56" t="str">
        <f t="shared" si="34"/>
        <v>Разом </v>
      </c>
    </row>
    <row r="84" spans="1:23" ht="30" customHeight="1">
      <c r="A84" s="227" t="s">
        <v>108</v>
      </c>
      <c r="B84" s="228"/>
      <c r="C84" s="228"/>
      <c r="D84" s="109">
        <v>107.41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10">
        <v>704374.88</v>
      </c>
      <c r="U84" s="96">
        <f>T84*12</f>
        <v>8452498.56</v>
      </c>
      <c r="V84" s="10"/>
      <c r="W84" s="56" t="str">
        <f t="shared" si="34"/>
        <v>1.5.  </v>
      </c>
    </row>
    <row r="85" spans="1:23" ht="30" customHeight="1">
      <c r="A85" s="229" t="s">
        <v>109</v>
      </c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53"/>
      <c r="S85" s="53"/>
      <c r="T85" s="48">
        <v>118654.68</v>
      </c>
      <c r="U85" s="96">
        <f>T85*12</f>
        <v>1423856.16</v>
      </c>
      <c r="V85" s="10"/>
      <c r="W85" s="56" t="str">
        <f t="shared" si="34"/>
        <v>1.6. Н</v>
      </c>
    </row>
    <row r="86" spans="1:23" ht="27.75" customHeight="1">
      <c r="A86" s="229" t="s">
        <v>110</v>
      </c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53"/>
      <c r="S86" s="53"/>
      <c r="T86" s="48">
        <v>86894.95</v>
      </c>
      <c r="U86" s="96">
        <f>T86*12</f>
        <v>1042739.3999999999</v>
      </c>
      <c r="V86" s="10"/>
      <c r="W86" s="56" t="str">
        <f t="shared" si="34"/>
        <v>1.7. Н</v>
      </c>
    </row>
    <row r="87" spans="1:23" ht="24" customHeight="1">
      <c r="A87" s="231" t="s">
        <v>111</v>
      </c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96">
        <v>522815.64</v>
      </c>
      <c r="V87" s="10"/>
      <c r="W87" s="56" t="str">
        <f t="shared" si="34"/>
        <v>1.8.Ма</v>
      </c>
    </row>
    <row r="88" spans="1:23" ht="24" customHeight="1">
      <c r="A88" s="231" t="s">
        <v>127</v>
      </c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96">
        <v>8282</v>
      </c>
      <c r="V88" s="10"/>
      <c r="W88" s="56" t="str">
        <f>LEFT(A88,6)</f>
        <v>1.9. М</v>
      </c>
    </row>
    <row r="89" spans="1:23" ht="24.75" customHeight="1">
      <c r="A89" s="231" t="s">
        <v>128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96"/>
      <c r="V89" s="10"/>
      <c r="W89" s="56" t="str">
        <f t="shared" si="34"/>
        <v>1.10. </v>
      </c>
    </row>
    <row r="90" spans="1:23" ht="23.25" customHeight="1">
      <c r="A90" s="233" t="s">
        <v>129</v>
      </c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5"/>
      <c r="U90" s="96">
        <f>U91-SUM(U83:U89)</f>
        <v>306236.8999999985</v>
      </c>
      <c r="V90" s="10"/>
      <c r="W90" s="56" t="str">
        <f t="shared" si="34"/>
        <v>1.12  </v>
      </c>
    </row>
    <row r="91" spans="1:23" ht="29.25" customHeight="1">
      <c r="A91" s="236" t="s">
        <v>25</v>
      </c>
      <c r="B91" s="237"/>
      <c r="C91" s="77" t="s">
        <v>96</v>
      </c>
      <c r="D91" s="68">
        <f>D84+D83</f>
        <v>208.91</v>
      </c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48">
        <f>SUM(T83:T86)</f>
        <v>1519776.45</v>
      </c>
      <c r="U91" s="49">
        <v>18464800</v>
      </c>
      <c r="V91" s="10"/>
      <c r="W91" s="56" t="str">
        <f t="shared" si="34"/>
        <v>Загаль</v>
      </c>
    </row>
    <row r="92" spans="1:23" ht="26.25" customHeight="1" thickBot="1">
      <c r="A92" s="89" t="s">
        <v>26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3" t="s">
        <v>158</v>
      </c>
      <c r="U92" s="90"/>
      <c r="V92" s="9" t="s">
        <v>3</v>
      </c>
      <c r="W92" s="2">
        <v>8</v>
      </c>
    </row>
    <row r="93" spans="1:22" ht="36.75" customHeight="1" thickBot="1">
      <c r="A93" s="84" t="s">
        <v>130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6"/>
      <c r="V93" s="10"/>
    </row>
    <row r="94" spans="1:23" ht="31.5" customHeight="1">
      <c r="A94" s="238" t="s">
        <v>125</v>
      </c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40"/>
      <c r="V94" s="10"/>
      <c r="W94" s="56"/>
    </row>
    <row r="95" spans="1:23" ht="30.75" customHeight="1">
      <c r="A95" s="30">
        <v>1</v>
      </c>
      <c r="B95" s="22" t="s">
        <v>10</v>
      </c>
      <c r="C95" s="23">
        <v>18</v>
      </c>
      <c r="D95" s="27"/>
      <c r="E95" s="48">
        <v>7421.7</v>
      </c>
      <c r="F95" s="23"/>
      <c r="G95" s="23">
        <f>H95*$D95</f>
        <v>0</v>
      </c>
      <c r="H95" s="48">
        <v>0</v>
      </c>
      <c r="I95" s="23">
        <v>0</v>
      </c>
      <c r="J95" s="23">
        <f>K95*$D95</f>
        <v>0</v>
      </c>
      <c r="K95" s="48">
        <f>ROUND(E95*I95/100*D95,2)</f>
        <v>0</v>
      </c>
      <c r="L95" s="23">
        <v>35</v>
      </c>
      <c r="M95" s="48">
        <f>N95</f>
        <v>2597.6</v>
      </c>
      <c r="N95" s="48">
        <f>ROUND(E95*L95/100,2)</f>
        <v>2597.6</v>
      </c>
      <c r="O95" s="23">
        <v>0</v>
      </c>
      <c r="P95" s="23">
        <f>Q95*D95</f>
        <v>0</v>
      </c>
      <c r="Q95" s="48">
        <f>E95*O95/100</f>
        <v>0</v>
      </c>
      <c r="R95" s="48">
        <f>S95*D95</f>
        <v>0</v>
      </c>
      <c r="S95" s="48"/>
      <c r="T95" s="48">
        <f>ROUND((H95+N95+K95+Q95),2)</f>
        <v>2597.6</v>
      </c>
      <c r="U95" s="49">
        <f>ROUND(T95*$W$92,2)</f>
        <v>20780.8</v>
      </c>
      <c r="V95" s="10">
        <f aca="true" t="shared" si="35" ref="V95:V115">IF(D95&gt;0,IF((U95/D95-Q95)&gt;$W$1,0,($W$1-(U95/D95-Q95))*D95),0)</f>
        <v>0</v>
      </c>
      <c r="W95" s="56" t="str">
        <f aca="true" t="shared" si="36" ref="W95:W100">LEFT(A95,6)</f>
        <v>1</v>
      </c>
    </row>
    <row r="96" spans="1:23" ht="45.75" customHeight="1">
      <c r="A96" s="30">
        <v>2</v>
      </c>
      <c r="B96" s="22" t="s">
        <v>99</v>
      </c>
      <c r="C96" s="32">
        <v>0.95</v>
      </c>
      <c r="D96" s="27"/>
      <c r="E96" s="48">
        <f>E95*0.95</f>
        <v>7050.615</v>
      </c>
      <c r="F96" s="23"/>
      <c r="G96" s="23">
        <f>H96*$D96</f>
        <v>0</v>
      </c>
      <c r="H96" s="48">
        <v>0</v>
      </c>
      <c r="I96" s="23">
        <v>0</v>
      </c>
      <c r="J96" s="23">
        <f>K96*$D96</f>
        <v>0</v>
      </c>
      <c r="K96" s="48">
        <f>ROUND(E96*I96/100*D96,2)</f>
        <v>0</v>
      </c>
      <c r="L96" s="23">
        <v>35</v>
      </c>
      <c r="M96" s="48">
        <f>N96</f>
        <v>2467.72</v>
      </c>
      <c r="N96" s="48">
        <f>ROUND(E96*L96/100,2)</f>
        <v>2467.72</v>
      </c>
      <c r="O96" s="23">
        <v>0</v>
      </c>
      <c r="P96" s="23">
        <f>Q96*D96</f>
        <v>0</v>
      </c>
      <c r="Q96" s="48">
        <f>E96*O96/100</f>
        <v>0</v>
      </c>
      <c r="R96" s="48">
        <f>S96*D96</f>
        <v>0</v>
      </c>
      <c r="S96" s="48"/>
      <c r="T96" s="48">
        <f>ROUND((H96+N96+K96+Q96),2)</f>
        <v>2467.72</v>
      </c>
      <c r="U96" s="49">
        <f>ROUND(T96*$W$92,2)</f>
        <v>19741.76</v>
      </c>
      <c r="V96" s="10">
        <f t="shared" si="35"/>
        <v>0</v>
      </c>
      <c r="W96" s="56" t="str">
        <f t="shared" si="36"/>
        <v>2</v>
      </c>
    </row>
    <row r="97" spans="1:23" ht="59.25" customHeight="1">
      <c r="A97" s="30">
        <v>3</v>
      </c>
      <c r="B97" s="22" t="s">
        <v>98</v>
      </c>
      <c r="C97" s="32">
        <v>0.9</v>
      </c>
      <c r="D97" s="27"/>
      <c r="E97" s="48">
        <f>E95*C97</f>
        <v>6679.53</v>
      </c>
      <c r="F97" s="23"/>
      <c r="G97" s="23">
        <f>H97*$D97</f>
        <v>0</v>
      </c>
      <c r="H97" s="48">
        <v>0</v>
      </c>
      <c r="I97" s="23">
        <v>0</v>
      </c>
      <c r="J97" s="23">
        <f>K97*$D97</f>
        <v>0</v>
      </c>
      <c r="K97" s="48">
        <f>ROUND(E97*I97/100*D97,2)</f>
        <v>0</v>
      </c>
      <c r="L97" s="23">
        <v>35</v>
      </c>
      <c r="M97" s="48">
        <f>N97</f>
        <v>2337.84</v>
      </c>
      <c r="N97" s="48">
        <f>ROUND(E97*L97/100,2)</f>
        <v>2337.84</v>
      </c>
      <c r="O97" s="23">
        <v>0</v>
      </c>
      <c r="P97" s="23">
        <f>Q97*D97</f>
        <v>0</v>
      </c>
      <c r="Q97" s="48">
        <f>E97*O97/100</f>
        <v>0</v>
      </c>
      <c r="R97" s="48">
        <f>S97*D97</f>
        <v>0</v>
      </c>
      <c r="S97" s="48"/>
      <c r="T97" s="48">
        <f>ROUND((H97+N97+K97+Q97),2)</f>
        <v>2337.84</v>
      </c>
      <c r="U97" s="49">
        <f>ROUND(T97*$W$92,2)</f>
        <v>18702.72</v>
      </c>
      <c r="V97" s="10">
        <f t="shared" si="35"/>
        <v>0</v>
      </c>
      <c r="W97" s="56" t="str">
        <f t="shared" si="36"/>
        <v>3</v>
      </c>
    </row>
    <row r="98" spans="1:23" ht="62.25" customHeight="1" thickBot="1">
      <c r="A98" s="30">
        <v>4</v>
      </c>
      <c r="B98" s="22" t="s">
        <v>156</v>
      </c>
      <c r="C98" s="32">
        <v>0.9</v>
      </c>
      <c r="D98" s="81">
        <v>0.5</v>
      </c>
      <c r="E98" s="81">
        <v>6679.53</v>
      </c>
      <c r="F98" s="60">
        <v>20</v>
      </c>
      <c r="G98" s="60">
        <f>H98*$D98</f>
        <v>667.953</v>
      </c>
      <c r="H98" s="48">
        <f>E98*F98/100</f>
        <v>1335.906</v>
      </c>
      <c r="I98" s="60">
        <v>10</v>
      </c>
      <c r="J98" s="60">
        <f>K98*$D98</f>
        <v>333.975</v>
      </c>
      <c r="K98" s="71">
        <f>ROUND(E98*I98/100,2)</f>
        <v>667.95</v>
      </c>
      <c r="L98" s="60">
        <v>35</v>
      </c>
      <c r="M98" s="71">
        <f>N98</f>
        <v>1168.92</v>
      </c>
      <c r="N98" s="71">
        <f>ROUND(E98*L98*D98/100,2)</f>
        <v>1168.92</v>
      </c>
      <c r="O98" s="60"/>
      <c r="P98" s="71">
        <f>Q98</f>
        <v>0</v>
      </c>
      <c r="Q98" s="71">
        <f>E98*O98*D98/100</f>
        <v>0</v>
      </c>
      <c r="R98" s="108">
        <f>S98</f>
        <v>0</v>
      </c>
      <c r="S98" s="48">
        <f>MAX($W$1-ROUND(ROUND((E98+H98+N98+K98)*D98,2)/D98,2),0)*D98</f>
        <v>0</v>
      </c>
      <c r="T98" s="71">
        <f>ROUND((E98+H98+K98)*D98+N98+Q98+S98,2)</f>
        <v>5510.61</v>
      </c>
      <c r="U98" s="52">
        <f>ROUND(T98*$W$92,2)</f>
        <v>44084.88</v>
      </c>
      <c r="V98" s="10">
        <f t="shared" si="35"/>
        <v>0</v>
      </c>
      <c r="W98" s="56" t="str">
        <f t="shared" si="36"/>
        <v>4</v>
      </c>
    </row>
    <row r="99" spans="1:23" ht="31.5" customHeight="1" thickBot="1">
      <c r="A99" s="222" t="s">
        <v>27</v>
      </c>
      <c r="B99" s="223"/>
      <c r="C99" s="25" t="s">
        <v>96</v>
      </c>
      <c r="D99" s="26">
        <f>SUM(D95:D98)</f>
        <v>0.5</v>
      </c>
      <c r="E99" s="50">
        <f>T99-H99-N99-K99-Q99</f>
        <v>3339.762000000001</v>
      </c>
      <c r="F99" s="25" t="s">
        <v>15</v>
      </c>
      <c r="G99" s="25"/>
      <c r="H99" s="50">
        <f>SUM(G95:G98)</f>
        <v>667.953</v>
      </c>
      <c r="I99" s="25" t="s">
        <v>15</v>
      </c>
      <c r="J99" s="25"/>
      <c r="K99" s="50">
        <f>SUM(J95:J98)</f>
        <v>333.975</v>
      </c>
      <c r="L99" s="25" t="s">
        <v>15</v>
      </c>
      <c r="M99" s="25"/>
      <c r="N99" s="50">
        <f>SUM(M95:M98)</f>
        <v>8572.08</v>
      </c>
      <c r="O99" s="25"/>
      <c r="P99" s="25"/>
      <c r="Q99" s="50">
        <f>SUM(P95:P98)</f>
        <v>0</v>
      </c>
      <c r="R99" s="50"/>
      <c r="S99" s="50">
        <f>SUM(R95:R98)</f>
        <v>0</v>
      </c>
      <c r="T99" s="50">
        <f>SUM(T94:T98)</f>
        <v>12913.77</v>
      </c>
      <c r="U99" s="51">
        <f>SUM(U94:U98)</f>
        <v>103310.16</v>
      </c>
      <c r="V99" s="10">
        <f t="shared" si="35"/>
        <v>0</v>
      </c>
      <c r="W99" s="56" t="str">
        <f t="shared" si="36"/>
        <v>Всього</v>
      </c>
    </row>
    <row r="100" spans="1:23" ht="27.75" customHeight="1">
      <c r="A100" s="238" t="s">
        <v>87</v>
      </c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40"/>
      <c r="V100" s="10">
        <f t="shared" si="35"/>
        <v>0</v>
      </c>
      <c r="W100" s="56" t="str">
        <f t="shared" si="36"/>
        <v>2.1.2 </v>
      </c>
    </row>
    <row r="101" spans="1:23" ht="59.25" customHeight="1">
      <c r="A101" s="30">
        <v>1</v>
      </c>
      <c r="B101" s="57" t="s">
        <v>77</v>
      </c>
      <c r="C101" s="32">
        <v>0.9</v>
      </c>
      <c r="D101" s="23"/>
      <c r="E101" s="23">
        <v>6072.3</v>
      </c>
      <c r="F101" s="23"/>
      <c r="G101" s="23">
        <f aca="true" t="shared" si="37" ref="G101:G110">H101*$D101</f>
        <v>0</v>
      </c>
      <c r="H101" s="23"/>
      <c r="I101" s="23"/>
      <c r="J101" s="23">
        <f aca="true" t="shared" si="38" ref="J101:J110">K101*$D101</f>
        <v>0</v>
      </c>
      <c r="K101" s="23"/>
      <c r="L101" s="23">
        <v>35</v>
      </c>
      <c r="M101" s="48">
        <f aca="true" t="shared" si="39" ref="M101:M107">N101</f>
        <v>2125.31</v>
      </c>
      <c r="N101" s="48">
        <f aca="true" t="shared" si="40" ref="N101:N107">ROUND(E101*L101/100,2)</f>
        <v>2125.31</v>
      </c>
      <c r="O101" s="23"/>
      <c r="P101" s="23">
        <f aca="true" t="shared" si="41" ref="P101:P110">Q101*D101</f>
        <v>0</v>
      </c>
      <c r="Q101" s="23"/>
      <c r="R101" s="48">
        <f aca="true" t="shared" si="42" ref="R101:R110">S101*D101</f>
        <v>0</v>
      </c>
      <c r="S101" s="23"/>
      <c r="T101" s="48">
        <f aca="true" t="shared" si="43" ref="T101:T107">ROUND((H101+N101+K101+Q101),2)</f>
        <v>2125.31</v>
      </c>
      <c r="U101" s="49">
        <f aca="true" t="shared" si="44" ref="U101:U110">ROUND(T101*$W$92,2)</f>
        <v>17002.48</v>
      </c>
      <c r="V101" s="10">
        <f t="shared" si="35"/>
        <v>0</v>
      </c>
      <c r="W101" s="56"/>
    </row>
    <row r="102" spans="1:23" ht="25.5" customHeight="1">
      <c r="A102" s="30">
        <v>2</v>
      </c>
      <c r="B102" s="57" t="s">
        <v>18</v>
      </c>
      <c r="C102" s="32">
        <v>0.9</v>
      </c>
      <c r="D102" s="23"/>
      <c r="E102" s="23">
        <v>6072.3</v>
      </c>
      <c r="F102" s="23"/>
      <c r="G102" s="23">
        <f t="shared" si="37"/>
        <v>0</v>
      </c>
      <c r="H102" s="23"/>
      <c r="I102" s="23"/>
      <c r="J102" s="23">
        <f t="shared" si="38"/>
        <v>0</v>
      </c>
      <c r="K102" s="23"/>
      <c r="L102" s="23">
        <v>35</v>
      </c>
      <c r="M102" s="48">
        <f t="shared" si="39"/>
        <v>2125.31</v>
      </c>
      <c r="N102" s="48">
        <f t="shared" si="40"/>
        <v>2125.31</v>
      </c>
      <c r="O102" s="23"/>
      <c r="P102" s="23">
        <f t="shared" si="41"/>
        <v>0</v>
      </c>
      <c r="Q102" s="23"/>
      <c r="R102" s="48">
        <f t="shared" si="42"/>
        <v>0</v>
      </c>
      <c r="S102" s="23"/>
      <c r="T102" s="48">
        <f t="shared" si="43"/>
        <v>2125.31</v>
      </c>
      <c r="U102" s="49">
        <f t="shared" si="44"/>
        <v>17002.48</v>
      </c>
      <c r="V102" s="10">
        <f t="shared" si="35"/>
        <v>0</v>
      </c>
      <c r="W102" s="56"/>
    </row>
    <row r="103" spans="1:23" ht="30.75" customHeight="1">
      <c r="A103" s="30">
        <v>3</v>
      </c>
      <c r="B103" s="57" t="s">
        <v>19</v>
      </c>
      <c r="C103" s="27">
        <v>10</v>
      </c>
      <c r="D103" s="23"/>
      <c r="E103" s="23">
        <v>3826</v>
      </c>
      <c r="F103" s="23"/>
      <c r="G103" s="23">
        <f t="shared" si="37"/>
        <v>0</v>
      </c>
      <c r="H103" s="23"/>
      <c r="I103" s="23"/>
      <c r="J103" s="23">
        <f t="shared" si="38"/>
        <v>0</v>
      </c>
      <c r="K103" s="23"/>
      <c r="L103" s="23">
        <v>35</v>
      </c>
      <c r="M103" s="48">
        <f t="shared" si="39"/>
        <v>1339.1</v>
      </c>
      <c r="N103" s="48">
        <f t="shared" si="40"/>
        <v>1339.1</v>
      </c>
      <c r="O103" s="23"/>
      <c r="P103" s="23">
        <f t="shared" si="41"/>
        <v>0</v>
      </c>
      <c r="Q103" s="23"/>
      <c r="R103" s="48">
        <f t="shared" si="42"/>
        <v>0</v>
      </c>
      <c r="S103" s="23"/>
      <c r="T103" s="48">
        <f t="shared" si="43"/>
        <v>1339.1</v>
      </c>
      <c r="U103" s="49">
        <f t="shared" si="44"/>
        <v>10712.8</v>
      </c>
      <c r="V103" s="10">
        <f t="shared" si="35"/>
        <v>0</v>
      </c>
      <c r="W103" s="56"/>
    </row>
    <row r="104" spans="1:23" ht="33" customHeight="1">
      <c r="A104" s="30">
        <v>4</v>
      </c>
      <c r="B104" s="57" t="s">
        <v>19</v>
      </c>
      <c r="C104" s="27">
        <v>10</v>
      </c>
      <c r="D104" s="23"/>
      <c r="E104" s="23">
        <v>3826</v>
      </c>
      <c r="F104" s="23"/>
      <c r="G104" s="23">
        <f t="shared" si="37"/>
        <v>0</v>
      </c>
      <c r="H104" s="23"/>
      <c r="I104" s="23"/>
      <c r="J104" s="23">
        <f t="shared" si="38"/>
        <v>0</v>
      </c>
      <c r="K104" s="23"/>
      <c r="L104" s="23">
        <v>35</v>
      </c>
      <c r="M104" s="48">
        <f t="shared" si="39"/>
        <v>1339.1</v>
      </c>
      <c r="N104" s="48">
        <f t="shared" si="40"/>
        <v>1339.1</v>
      </c>
      <c r="O104" s="23"/>
      <c r="P104" s="23">
        <f t="shared" si="41"/>
        <v>0</v>
      </c>
      <c r="Q104" s="23"/>
      <c r="R104" s="48">
        <f t="shared" si="42"/>
        <v>0</v>
      </c>
      <c r="S104" s="23"/>
      <c r="T104" s="48">
        <f t="shared" si="43"/>
        <v>1339.1</v>
      </c>
      <c r="U104" s="49">
        <f t="shared" si="44"/>
        <v>10712.8</v>
      </c>
      <c r="V104" s="10">
        <f t="shared" si="35"/>
        <v>0</v>
      </c>
      <c r="W104" s="56"/>
    </row>
    <row r="105" spans="1:23" ht="28.5" customHeight="1">
      <c r="A105" s="30">
        <v>5</v>
      </c>
      <c r="B105" s="57" t="s">
        <v>19</v>
      </c>
      <c r="C105" s="27">
        <v>10</v>
      </c>
      <c r="D105" s="23"/>
      <c r="E105" s="23">
        <v>3826</v>
      </c>
      <c r="F105" s="23"/>
      <c r="G105" s="23">
        <f t="shared" si="37"/>
        <v>0</v>
      </c>
      <c r="H105" s="23"/>
      <c r="I105" s="23"/>
      <c r="J105" s="23">
        <f t="shared" si="38"/>
        <v>0</v>
      </c>
      <c r="K105" s="23"/>
      <c r="L105" s="23">
        <v>35</v>
      </c>
      <c r="M105" s="48">
        <f t="shared" si="39"/>
        <v>1339.1</v>
      </c>
      <c r="N105" s="48">
        <f t="shared" si="40"/>
        <v>1339.1</v>
      </c>
      <c r="O105" s="23"/>
      <c r="P105" s="23">
        <f t="shared" si="41"/>
        <v>0</v>
      </c>
      <c r="Q105" s="23"/>
      <c r="R105" s="48">
        <f t="shared" si="42"/>
        <v>0</v>
      </c>
      <c r="S105" s="23"/>
      <c r="T105" s="48">
        <f t="shared" si="43"/>
        <v>1339.1</v>
      </c>
      <c r="U105" s="49">
        <f t="shared" si="44"/>
        <v>10712.8</v>
      </c>
      <c r="V105" s="10">
        <f t="shared" si="35"/>
        <v>0</v>
      </c>
      <c r="W105" s="56"/>
    </row>
    <row r="106" spans="1:23" ht="33" customHeight="1">
      <c r="A106" s="30">
        <v>6</v>
      </c>
      <c r="B106" s="57" t="s">
        <v>69</v>
      </c>
      <c r="C106" s="27">
        <v>9</v>
      </c>
      <c r="D106" s="23"/>
      <c r="E106" s="23">
        <v>3636</v>
      </c>
      <c r="F106" s="23"/>
      <c r="G106" s="23">
        <f t="shared" si="37"/>
        <v>0</v>
      </c>
      <c r="H106" s="23"/>
      <c r="I106" s="23"/>
      <c r="J106" s="23">
        <f t="shared" si="38"/>
        <v>0</v>
      </c>
      <c r="K106" s="23"/>
      <c r="L106" s="23">
        <v>35</v>
      </c>
      <c r="M106" s="48">
        <f t="shared" si="39"/>
        <v>1272.6</v>
      </c>
      <c r="N106" s="48">
        <f t="shared" si="40"/>
        <v>1272.6</v>
      </c>
      <c r="O106" s="23"/>
      <c r="P106" s="23">
        <f t="shared" si="41"/>
        <v>0</v>
      </c>
      <c r="Q106" s="23"/>
      <c r="R106" s="48">
        <f t="shared" si="42"/>
        <v>0</v>
      </c>
      <c r="S106" s="23"/>
      <c r="T106" s="48">
        <f t="shared" si="43"/>
        <v>1272.6</v>
      </c>
      <c r="U106" s="49">
        <f t="shared" si="44"/>
        <v>10180.8</v>
      </c>
      <c r="V106" s="10">
        <f t="shared" si="35"/>
        <v>0</v>
      </c>
      <c r="W106" s="56"/>
    </row>
    <row r="107" spans="1:23" ht="26.25" customHeight="1">
      <c r="A107" s="30">
        <v>7</v>
      </c>
      <c r="B107" s="57" t="s">
        <v>69</v>
      </c>
      <c r="C107" s="27">
        <v>9</v>
      </c>
      <c r="D107" s="23"/>
      <c r="E107" s="23">
        <v>3636</v>
      </c>
      <c r="F107" s="23"/>
      <c r="G107" s="23">
        <f t="shared" si="37"/>
        <v>0</v>
      </c>
      <c r="H107" s="23"/>
      <c r="I107" s="23"/>
      <c r="J107" s="23">
        <f t="shared" si="38"/>
        <v>0</v>
      </c>
      <c r="K107" s="23"/>
      <c r="L107" s="23">
        <v>35</v>
      </c>
      <c r="M107" s="48">
        <f t="shared" si="39"/>
        <v>1272.6</v>
      </c>
      <c r="N107" s="48">
        <f t="shared" si="40"/>
        <v>1272.6</v>
      </c>
      <c r="O107" s="23"/>
      <c r="P107" s="23">
        <f t="shared" si="41"/>
        <v>0</v>
      </c>
      <c r="Q107" s="23"/>
      <c r="R107" s="48">
        <f t="shared" si="42"/>
        <v>0</v>
      </c>
      <c r="S107" s="23"/>
      <c r="T107" s="48">
        <f t="shared" si="43"/>
        <v>1272.6</v>
      </c>
      <c r="U107" s="49">
        <f t="shared" si="44"/>
        <v>10180.8</v>
      </c>
      <c r="V107" s="10">
        <f t="shared" si="35"/>
        <v>0</v>
      </c>
      <c r="W107" s="56"/>
    </row>
    <row r="108" spans="1:23" ht="30" customHeight="1">
      <c r="A108" s="30">
        <v>8</v>
      </c>
      <c r="B108" s="57" t="s">
        <v>89</v>
      </c>
      <c r="C108" s="27">
        <v>10</v>
      </c>
      <c r="D108" s="23">
        <v>1</v>
      </c>
      <c r="E108" s="23">
        <v>3826</v>
      </c>
      <c r="F108" s="23"/>
      <c r="G108" s="23">
        <f t="shared" si="37"/>
        <v>0</v>
      </c>
      <c r="H108" s="23"/>
      <c r="I108" s="23"/>
      <c r="J108" s="23">
        <f t="shared" si="38"/>
        <v>0</v>
      </c>
      <c r="K108" s="23"/>
      <c r="L108" s="23">
        <v>50</v>
      </c>
      <c r="M108" s="23">
        <f>N108*D108</f>
        <v>1913</v>
      </c>
      <c r="N108" s="48">
        <f>ROUND(E108*L108/100,2)</f>
        <v>1913</v>
      </c>
      <c r="O108" s="23"/>
      <c r="P108" s="23">
        <f t="shared" si="41"/>
        <v>0</v>
      </c>
      <c r="Q108" s="23"/>
      <c r="R108" s="48">
        <f t="shared" si="42"/>
        <v>0</v>
      </c>
      <c r="S108" s="48">
        <f>MAX($W$1-ROUND(ROUND((E108+H108+N108+K108+Q108)*D108,2)/D108,2),0)</f>
        <v>0</v>
      </c>
      <c r="T108" s="48">
        <f>ROUND((E108+H108+N108)*D108,2)</f>
        <v>5739</v>
      </c>
      <c r="U108" s="49">
        <f t="shared" si="44"/>
        <v>45912</v>
      </c>
      <c r="V108" s="10">
        <f t="shared" si="35"/>
        <v>0</v>
      </c>
      <c r="W108" s="56"/>
    </row>
    <row r="109" spans="1:23" ht="41.25" customHeight="1">
      <c r="A109" s="30">
        <v>9</v>
      </c>
      <c r="B109" s="57" t="s">
        <v>88</v>
      </c>
      <c r="C109" s="23">
        <v>7</v>
      </c>
      <c r="D109" s="23">
        <v>0.5</v>
      </c>
      <c r="E109" s="23">
        <v>3237</v>
      </c>
      <c r="F109" s="23"/>
      <c r="G109" s="23">
        <f t="shared" si="37"/>
        <v>0</v>
      </c>
      <c r="H109" s="23"/>
      <c r="I109" s="23"/>
      <c r="J109" s="23">
        <f t="shared" si="38"/>
        <v>0</v>
      </c>
      <c r="K109" s="23"/>
      <c r="L109" s="23"/>
      <c r="M109" s="23">
        <f>N109*D109</f>
        <v>0</v>
      </c>
      <c r="N109" s="23"/>
      <c r="O109" s="23"/>
      <c r="P109" s="23">
        <f t="shared" si="41"/>
        <v>0</v>
      </c>
      <c r="Q109" s="71">
        <f>E109*O109*D109/100</f>
        <v>0</v>
      </c>
      <c r="R109" s="108">
        <f>S109</f>
        <v>743</v>
      </c>
      <c r="S109" s="48">
        <f>MAX($W$1-ROUND(ROUND((E109+H109+N109+K109)*D109,2)/D109,2),0)*D109</f>
        <v>743</v>
      </c>
      <c r="T109" s="71">
        <f>ROUND((E109+H109+K109)*D109+N109+Q109+S109,2)</f>
        <v>2361.5</v>
      </c>
      <c r="U109" s="49">
        <f t="shared" si="44"/>
        <v>18892</v>
      </c>
      <c r="V109" s="10">
        <f t="shared" si="35"/>
        <v>0</v>
      </c>
      <c r="W109" s="56"/>
    </row>
    <row r="110" spans="1:23" ht="33" customHeight="1" thickBot="1">
      <c r="A110" s="30">
        <v>10</v>
      </c>
      <c r="B110" s="53" t="s">
        <v>141</v>
      </c>
      <c r="C110" s="23">
        <v>7</v>
      </c>
      <c r="D110" s="23">
        <v>1</v>
      </c>
      <c r="E110" s="23">
        <v>3237</v>
      </c>
      <c r="F110" s="23">
        <v>30</v>
      </c>
      <c r="G110" s="23">
        <f t="shared" si="37"/>
        <v>971.1</v>
      </c>
      <c r="H110" s="48">
        <f>E110*F110/100</f>
        <v>971.1</v>
      </c>
      <c r="I110" s="23"/>
      <c r="J110" s="23">
        <f t="shared" si="38"/>
        <v>0</v>
      </c>
      <c r="K110" s="23"/>
      <c r="L110" s="23"/>
      <c r="M110" s="23">
        <f>N110*D110</f>
        <v>0</v>
      </c>
      <c r="N110" s="23"/>
      <c r="O110" s="23"/>
      <c r="P110" s="23">
        <f t="shared" si="41"/>
        <v>0</v>
      </c>
      <c r="Q110" s="23"/>
      <c r="R110" s="48">
        <f t="shared" si="42"/>
        <v>514.8999999999996</v>
      </c>
      <c r="S110" s="48">
        <f>MAX($W$1-ROUND(ROUND((E110+H110+N110+K110+Q110)*D110,2)/D110,2),0)</f>
        <v>514.8999999999996</v>
      </c>
      <c r="T110" s="48">
        <f>ROUND((E110+H110+N110+K110+Q110+S110)*D110,2)</f>
        <v>4723</v>
      </c>
      <c r="U110" s="91">
        <f t="shared" si="44"/>
        <v>37784</v>
      </c>
      <c r="V110" s="10">
        <f t="shared" si="35"/>
        <v>0</v>
      </c>
      <c r="W110" s="56"/>
    </row>
    <row r="111" spans="1:23" ht="40.5" customHeight="1" thickBot="1">
      <c r="A111" s="222" t="s">
        <v>28</v>
      </c>
      <c r="B111" s="223"/>
      <c r="C111" s="25" t="s">
        <v>96</v>
      </c>
      <c r="D111" s="26">
        <f>SUM(D108:D110)</f>
        <v>2.5</v>
      </c>
      <c r="E111" s="50">
        <f>T111-H111-N111-K111-Q111-S111</f>
        <v>8681.500000000004</v>
      </c>
      <c r="F111" s="25" t="s">
        <v>15</v>
      </c>
      <c r="G111" s="25"/>
      <c r="H111" s="50">
        <f>SUM(G101:G110)</f>
        <v>971.1</v>
      </c>
      <c r="I111" s="25" t="s">
        <v>15</v>
      </c>
      <c r="J111" s="25"/>
      <c r="K111" s="50">
        <f>SUM(J101:J110)</f>
        <v>0</v>
      </c>
      <c r="L111" s="25" t="s">
        <v>15</v>
      </c>
      <c r="M111" s="25"/>
      <c r="N111" s="50">
        <f>SUM(M101:M110)</f>
        <v>12726.12</v>
      </c>
      <c r="O111" s="25"/>
      <c r="P111" s="25"/>
      <c r="Q111" s="50">
        <f>SUM(P101:P110)</f>
        <v>0</v>
      </c>
      <c r="R111" s="50"/>
      <c r="S111" s="50">
        <f>SUM(R101:R110)</f>
        <v>1257.8999999999996</v>
      </c>
      <c r="T111" s="50">
        <f>SUM(T100:T110)</f>
        <v>23636.620000000003</v>
      </c>
      <c r="U111" s="51">
        <f>SUM(U100:U110)</f>
        <v>189092.96000000002</v>
      </c>
      <c r="V111" s="10">
        <f t="shared" si="35"/>
        <v>0</v>
      </c>
      <c r="W111" s="56" t="str">
        <f>LEFT(A111,6)</f>
        <v>Всього</v>
      </c>
    </row>
    <row r="112" spans="1:23" ht="32.25" customHeight="1">
      <c r="A112" s="238" t="s">
        <v>92</v>
      </c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40"/>
      <c r="V112" s="10">
        <f t="shared" si="35"/>
        <v>0</v>
      </c>
      <c r="W112" s="56" t="str">
        <f>LEFT(A112,6)</f>
        <v>2.1.3.</v>
      </c>
    </row>
    <row r="113" spans="1:23" ht="36" customHeight="1">
      <c r="A113" s="58">
        <v>1</v>
      </c>
      <c r="B113" s="57" t="s">
        <v>21</v>
      </c>
      <c r="C113" s="23">
        <v>2</v>
      </c>
      <c r="D113" s="23">
        <v>2</v>
      </c>
      <c r="E113" s="23">
        <v>2291</v>
      </c>
      <c r="F113" s="23"/>
      <c r="G113" s="23">
        <f>H113*$D113</f>
        <v>0</v>
      </c>
      <c r="H113" s="23"/>
      <c r="I113" s="23"/>
      <c r="J113" s="23">
        <f>K113*$D113</f>
        <v>0</v>
      </c>
      <c r="K113" s="23"/>
      <c r="L113" s="23"/>
      <c r="M113" s="23">
        <f>N113*D113</f>
        <v>0</v>
      </c>
      <c r="N113" s="23"/>
      <c r="O113" s="23">
        <v>10</v>
      </c>
      <c r="P113" s="23">
        <f>Q113*D113</f>
        <v>458.2</v>
      </c>
      <c r="Q113" s="48">
        <f>E113*O113/100</f>
        <v>229.1</v>
      </c>
      <c r="R113" s="48">
        <f>S113*D113</f>
        <v>4864</v>
      </c>
      <c r="S113" s="48">
        <f>MAX($W$1-ROUND(ROUND((E113+H113+N113+K113)*D113,2)/D113,2),0)</f>
        <v>2432</v>
      </c>
      <c r="T113" s="48">
        <f>ROUND((E113+H113+N113+K113+Q113+S113)*D113,2)</f>
        <v>9904.2</v>
      </c>
      <c r="U113" s="91">
        <f>ROUND(T113*$W$92,2)</f>
        <v>79233.6</v>
      </c>
      <c r="V113" s="10">
        <f t="shared" si="35"/>
        <v>0</v>
      </c>
      <c r="W113" s="56"/>
    </row>
    <row r="114" spans="1:23" ht="27" customHeight="1">
      <c r="A114" s="58">
        <v>2</v>
      </c>
      <c r="B114" s="53" t="s">
        <v>23</v>
      </c>
      <c r="C114" s="23">
        <v>2</v>
      </c>
      <c r="D114" s="23">
        <v>1</v>
      </c>
      <c r="E114" s="23">
        <v>2291</v>
      </c>
      <c r="F114" s="23"/>
      <c r="G114" s="23">
        <f>H114*$D114</f>
        <v>0</v>
      </c>
      <c r="H114" s="23"/>
      <c r="I114" s="23"/>
      <c r="J114" s="23">
        <f>K114*$D114</f>
        <v>0</v>
      </c>
      <c r="K114" s="23"/>
      <c r="L114" s="23"/>
      <c r="M114" s="23">
        <f>N114*D114</f>
        <v>0</v>
      </c>
      <c r="N114" s="23"/>
      <c r="O114" s="23">
        <v>13</v>
      </c>
      <c r="P114" s="23">
        <f>Q114*D114</f>
        <v>297.83</v>
      </c>
      <c r="Q114" s="48">
        <f>E114*O114/100</f>
        <v>297.83</v>
      </c>
      <c r="R114" s="48">
        <f>S114*D114</f>
        <v>2432</v>
      </c>
      <c r="S114" s="48">
        <f>MAX($W$1-ROUND(ROUND((E114+H114+N114+K114)*D114,2)/D114,2),0)</f>
        <v>2432</v>
      </c>
      <c r="T114" s="48">
        <f>ROUND((E114+H114+N114+K114+Q114+S114)*D114,2)</f>
        <v>5020.83</v>
      </c>
      <c r="U114" s="91">
        <f>ROUND(T114*$W$92,2)</f>
        <v>40166.64</v>
      </c>
      <c r="V114" s="10">
        <f t="shared" si="35"/>
        <v>0</v>
      </c>
      <c r="W114" s="56"/>
    </row>
    <row r="115" spans="1:23" ht="37.5" customHeight="1" thickBot="1">
      <c r="A115" s="93">
        <v>3</v>
      </c>
      <c r="B115" s="59" t="s">
        <v>29</v>
      </c>
      <c r="C115" s="60">
        <v>2</v>
      </c>
      <c r="D115" s="60">
        <v>1</v>
      </c>
      <c r="E115" s="60">
        <v>2291</v>
      </c>
      <c r="F115" s="60"/>
      <c r="G115" s="60">
        <f>H115*$D115</f>
        <v>0</v>
      </c>
      <c r="H115" s="60"/>
      <c r="I115" s="60"/>
      <c r="J115" s="60">
        <f>K115*$D115</f>
        <v>0</v>
      </c>
      <c r="K115" s="60"/>
      <c r="L115" s="60"/>
      <c r="M115" s="60">
        <f>N115*D115</f>
        <v>0</v>
      </c>
      <c r="N115" s="60"/>
      <c r="O115" s="60"/>
      <c r="P115" s="60">
        <f>Q115*D115</f>
        <v>0</v>
      </c>
      <c r="Q115" s="60"/>
      <c r="R115" s="48">
        <f>S115*D115</f>
        <v>2432</v>
      </c>
      <c r="S115" s="48">
        <f>MAX($W$1-ROUND(ROUND((E115+H115+N115+K115)*D115,2)/D115,2),0)</f>
        <v>2432</v>
      </c>
      <c r="T115" s="48">
        <f>ROUND((E115+H115+N115+K115+Q115+S115)*D115,2)</f>
        <v>4723</v>
      </c>
      <c r="U115" s="92">
        <f>ROUND(T115*$W$92,2)</f>
        <v>37784</v>
      </c>
      <c r="V115" s="10">
        <f t="shared" si="35"/>
        <v>0</v>
      </c>
      <c r="W115" s="56"/>
    </row>
    <row r="116" spans="1:23" ht="30" customHeight="1" thickBot="1">
      <c r="A116" s="222" t="s">
        <v>65</v>
      </c>
      <c r="B116" s="223"/>
      <c r="C116" s="25" t="s">
        <v>96</v>
      </c>
      <c r="D116" s="26">
        <f>SUM(D113:D115)</f>
        <v>4</v>
      </c>
      <c r="E116" s="50">
        <f>T116-H116-N116-K116-Q116-S116</f>
        <v>9164</v>
      </c>
      <c r="F116" s="25" t="s">
        <v>15</v>
      </c>
      <c r="G116" s="25"/>
      <c r="H116" s="50">
        <f>SUM(G113:G115)</f>
        <v>0</v>
      </c>
      <c r="I116" s="25" t="s">
        <v>15</v>
      </c>
      <c r="J116" s="25"/>
      <c r="K116" s="50">
        <f>SUM(J113:J115)</f>
        <v>0</v>
      </c>
      <c r="L116" s="25" t="s">
        <v>15</v>
      </c>
      <c r="M116" s="25"/>
      <c r="N116" s="50">
        <f>SUM(M113:M115)</f>
        <v>0</v>
      </c>
      <c r="O116" s="25"/>
      <c r="P116" s="25"/>
      <c r="Q116" s="50">
        <f>SUM(P113:P115)</f>
        <v>756.03</v>
      </c>
      <c r="R116" s="50"/>
      <c r="S116" s="50">
        <f>SUM(R113:R115)</f>
        <v>9728</v>
      </c>
      <c r="T116" s="50">
        <f>SUM(T112:T115)</f>
        <v>19648.03</v>
      </c>
      <c r="U116" s="51">
        <f>SUM(U112:U115)</f>
        <v>157184.24</v>
      </c>
      <c r="V116" s="10"/>
      <c r="W116" s="56" t="str">
        <f>LEFT(A116,6)</f>
        <v>Всього</v>
      </c>
    </row>
    <row r="117" spans="1:23" ht="27" customHeight="1" thickBot="1">
      <c r="A117" s="222" t="s">
        <v>94</v>
      </c>
      <c r="B117" s="223"/>
      <c r="C117" s="28" t="s">
        <v>96</v>
      </c>
      <c r="D117" s="26">
        <f>SUMIF($W$95:$W$116,"Всього",D95:D116)</f>
        <v>7</v>
      </c>
      <c r="E117" s="50">
        <f>T117-H117-N117-K117-Q117-S117</f>
        <v>21185.262000000002</v>
      </c>
      <c r="F117" s="25" t="s">
        <v>15</v>
      </c>
      <c r="G117" s="28"/>
      <c r="H117" s="26">
        <f>SUMIF($W$95:$W$116,"Всього",H95:H116)</f>
        <v>1639.0529999999999</v>
      </c>
      <c r="I117" s="25" t="s">
        <v>15</v>
      </c>
      <c r="J117" s="28"/>
      <c r="K117" s="31">
        <f>SUMIF($W$95:$W$116,"Всього",K95:K116)</f>
        <v>333.975</v>
      </c>
      <c r="L117" s="25" t="s">
        <v>15</v>
      </c>
      <c r="M117" s="28"/>
      <c r="N117" s="26">
        <f>SUMIF($W$95:$W$116,"Всього",N95:N116)</f>
        <v>21298.2</v>
      </c>
      <c r="O117" s="28"/>
      <c r="P117" s="28"/>
      <c r="Q117" s="31">
        <f>SUMIF($W$95:$W$116,"Всього",Q95:Q116)</f>
        <v>756.03</v>
      </c>
      <c r="R117" s="26"/>
      <c r="S117" s="26">
        <f>SUMIF($W$95:$W$116,"Всього",S95:S116)</f>
        <v>10985.9</v>
      </c>
      <c r="T117" s="54">
        <f>SUMIF($W$95:$W$116,"Всього",T95:T116)</f>
        <v>56198.42</v>
      </c>
      <c r="U117" s="51">
        <f>SUMIF($W$95:$W$116,"Всього",U95:U116)</f>
        <v>449587.36</v>
      </c>
      <c r="V117" s="9" t="s">
        <v>3</v>
      </c>
      <c r="W117" s="2">
        <v>8</v>
      </c>
    </row>
    <row r="118" spans="1:23" ht="31.5" customHeight="1">
      <c r="A118" s="227" t="s">
        <v>112</v>
      </c>
      <c r="B118" s="228"/>
      <c r="C118" s="228"/>
      <c r="D118" s="109">
        <v>26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110">
        <v>175166.21</v>
      </c>
      <c r="U118" s="96">
        <f>ROUND(T118*$W$92,2)</f>
        <v>1401329.68</v>
      </c>
      <c r="V118" s="10"/>
      <c r="W118" s="56" t="str">
        <f aca="true" t="shared" si="45" ref="W118:W129">LEFT(A118,6)</f>
        <v>2.1.4 </v>
      </c>
    </row>
    <row r="119" spans="1:23" ht="28.5" customHeight="1">
      <c r="A119" s="229" t="s">
        <v>131</v>
      </c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53"/>
      <c r="S119" s="53"/>
      <c r="T119" s="48">
        <v>30834.65</v>
      </c>
      <c r="U119" s="49">
        <f>ROUND(T119*$W$92,2)</f>
        <v>246677.2</v>
      </c>
      <c r="V119" s="10"/>
      <c r="W119" s="56" t="str">
        <f t="shared" si="45"/>
        <v>2.1.5 </v>
      </c>
    </row>
    <row r="120" spans="1:23" ht="29.25" customHeight="1">
      <c r="A120" s="229" t="s">
        <v>113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53"/>
      <c r="S120" s="53"/>
      <c r="T120" s="48">
        <v>21365.03</v>
      </c>
      <c r="U120" s="49">
        <f>ROUND(T120*$W$92,2)</f>
        <v>170920.24</v>
      </c>
      <c r="V120" s="10"/>
      <c r="W120" s="56" t="str">
        <f t="shared" si="45"/>
        <v>2.1.6.</v>
      </c>
    </row>
    <row r="121" spans="1:23" ht="31.5" customHeight="1">
      <c r="A121" s="229" t="s">
        <v>114</v>
      </c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49">
        <v>78963.78</v>
      </c>
      <c r="V121" s="10"/>
      <c r="W121" s="56" t="str">
        <f t="shared" si="45"/>
        <v>2.1.7 </v>
      </c>
    </row>
    <row r="122" spans="1:23" ht="26.25" customHeight="1">
      <c r="A122" s="229" t="s">
        <v>142</v>
      </c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49"/>
      <c r="V122" s="10"/>
      <c r="W122" s="56" t="str">
        <f>LEFT(A122,6)</f>
        <v>2.1.8 </v>
      </c>
    </row>
    <row r="123" spans="1:23" ht="27.75" customHeight="1">
      <c r="A123" s="229" t="s">
        <v>143</v>
      </c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49"/>
      <c r="V123" s="10"/>
      <c r="W123" s="56" t="str">
        <f t="shared" si="45"/>
        <v>2.1.9 </v>
      </c>
    </row>
    <row r="124" spans="1:23" ht="27.75" customHeight="1">
      <c r="A124" s="233" t="s">
        <v>132</v>
      </c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5"/>
      <c r="U124" s="96">
        <f>U125-SUM(U117:U123)</f>
        <v>-146509.58000000007</v>
      </c>
      <c r="V124" s="10"/>
      <c r="W124" s="56" t="str">
        <f>LEFT(A124,6)</f>
        <v>2.1.10</v>
      </c>
    </row>
    <row r="125" spans="1:23" ht="28.5" customHeight="1">
      <c r="A125" s="88" t="s">
        <v>134</v>
      </c>
      <c r="B125" s="67"/>
      <c r="C125" s="66"/>
      <c r="D125" s="68">
        <f>D118+D117</f>
        <v>33</v>
      </c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48">
        <f>SUM(T117:T120)</f>
        <v>283564.31000000006</v>
      </c>
      <c r="U125" s="103">
        <v>2200968.68</v>
      </c>
      <c r="V125" s="10"/>
      <c r="W125" s="56" t="str">
        <f t="shared" si="45"/>
        <v>Всього</v>
      </c>
    </row>
    <row r="126" spans="1:23" ht="35.25" customHeight="1">
      <c r="A126" s="241" t="s">
        <v>126</v>
      </c>
      <c r="B126" s="242"/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3"/>
      <c r="V126" s="10"/>
      <c r="W126" s="56" t="str">
        <f t="shared" si="45"/>
        <v>2.2. К</v>
      </c>
    </row>
    <row r="127" spans="1:23" ht="44.25" customHeight="1">
      <c r="A127" s="244" t="s">
        <v>50</v>
      </c>
      <c r="B127" s="245"/>
      <c r="C127" s="23">
        <v>13</v>
      </c>
      <c r="D127" s="27">
        <v>1</v>
      </c>
      <c r="E127" s="48">
        <v>5249.2</v>
      </c>
      <c r="F127" s="23">
        <v>20</v>
      </c>
      <c r="G127" s="23">
        <f>H127*$D127</f>
        <v>1049.84</v>
      </c>
      <c r="H127" s="48">
        <f>E127*F127*D127/100</f>
        <v>1049.84</v>
      </c>
      <c r="I127" s="23">
        <v>20</v>
      </c>
      <c r="J127" s="23">
        <f>K127*$D127</f>
        <v>1049.84</v>
      </c>
      <c r="K127" s="48">
        <f>ROUND(E127*I127/100*D127,2)</f>
        <v>1049.84</v>
      </c>
      <c r="L127" s="23"/>
      <c r="M127" s="48"/>
      <c r="N127" s="48">
        <f>ROUND(E127*L127/100,2)</f>
        <v>0</v>
      </c>
      <c r="O127" s="23"/>
      <c r="P127" s="23">
        <f>Q127*D127</f>
        <v>0</v>
      </c>
      <c r="Q127" s="48">
        <f>E127*O127/100</f>
        <v>0</v>
      </c>
      <c r="R127" s="48">
        <f>S127*D127</f>
        <v>0</v>
      </c>
      <c r="S127" s="48">
        <f>MAX($W$1-ROUND(ROUND((E127+H127+N127+K127+Q127)*D127,2)/D127,2),0)</f>
        <v>0</v>
      </c>
      <c r="T127" s="48">
        <f>ROUND((E127+H127+N127+K127+Q127)*D127,2)</f>
        <v>7348.88</v>
      </c>
      <c r="U127" s="49"/>
      <c r="V127" s="10">
        <f>IF(D127&gt;0,IF((U127/D127-Q127)&gt;$W$1,0,($W$1-(U127/D127-Q127))*D127),0)</f>
        <v>4723</v>
      </c>
      <c r="W127" s="56" t="str">
        <f t="shared" si="45"/>
        <v>2.2.1 </v>
      </c>
    </row>
    <row r="128" spans="1:23" ht="26.25" customHeight="1">
      <c r="A128" s="46" t="s">
        <v>46</v>
      </c>
      <c r="B128" s="22"/>
      <c r="C128" s="23">
        <v>12</v>
      </c>
      <c r="D128" s="27">
        <v>4</v>
      </c>
      <c r="E128" s="48">
        <v>4901.6</v>
      </c>
      <c r="F128" s="23"/>
      <c r="G128" s="23">
        <f>H128*$D128</f>
        <v>0</v>
      </c>
      <c r="H128" s="48">
        <v>0</v>
      </c>
      <c r="I128" s="23">
        <v>0</v>
      </c>
      <c r="J128" s="23">
        <f>K128*$D128</f>
        <v>0</v>
      </c>
      <c r="K128" s="48">
        <f>ROUND(E128*I128/100*D128,2)</f>
        <v>0</v>
      </c>
      <c r="L128" s="23"/>
      <c r="M128" s="23"/>
      <c r="N128" s="48">
        <f>ROUND(E128*L128/100,2)</f>
        <v>0</v>
      </c>
      <c r="O128" s="23"/>
      <c r="P128" s="23"/>
      <c r="Q128" s="48">
        <f>E128*O128/100</f>
        <v>0</v>
      </c>
      <c r="R128" s="48">
        <f>S128*D128</f>
        <v>0</v>
      </c>
      <c r="S128" s="48"/>
      <c r="T128" s="48">
        <f>ROUND((E128+H128+N128+K128+Q128+S128)*D128,2)</f>
        <v>19606.4</v>
      </c>
      <c r="U128" s="49">
        <f>ROUND(T128*$W$92,2)</f>
        <v>156851.2</v>
      </c>
      <c r="V128" s="10">
        <f>IF(D128&gt;0,IF((U128/D128-Q128)&gt;$W$1,0,($W$1-(U128/D128-Q128))*D128),0)</f>
        <v>0</v>
      </c>
      <c r="W128" s="56" t="str">
        <f t="shared" si="45"/>
        <v>2.2.2 </v>
      </c>
    </row>
    <row r="129" spans="1:23" ht="25.5" customHeight="1">
      <c r="A129" s="229" t="s">
        <v>30</v>
      </c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53"/>
      <c r="S129" s="53"/>
      <c r="T129" s="48">
        <v>3010.48</v>
      </c>
      <c r="U129" s="49">
        <f>ROUND(T129*$W$92,2)</f>
        <v>24083.84</v>
      </c>
      <c r="V129" s="10"/>
      <c r="W129" s="56" t="str">
        <f t="shared" si="45"/>
        <v>2.2.3 </v>
      </c>
    </row>
    <row r="130" spans="1:23" ht="27.75" customHeight="1">
      <c r="A130" s="229" t="s">
        <v>48</v>
      </c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53"/>
      <c r="S130" s="53"/>
      <c r="T130" s="48">
        <v>3010.48</v>
      </c>
      <c r="U130" s="49">
        <f>ROUND(T130*$W$92,2)</f>
        <v>24083.84</v>
      </c>
      <c r="V130" s="10"/>
      <c r="W130" s="56" t="str">
        <f>LEFT(A130,6)</f>
        <v>2.2.4 </v>
      </c>
    </row>
    <row r="131" spans="1:23" ht="26.25" customHeight="1">
      <c r="A131" s="229" t="s">
        <v>105</v>
      </c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49"/>
      <c r="V131" s="10"/>
      <c r="W131" s="56" t="str">
        <f>LEFT(A131,6)</f>
        <v>2.2.5 </v>
      </c>
    </row>
    <row r="132" spans="1:23" ht="24.75" customHeight="1">
      <c r="A132" s="229" t="s">
        <v>106</v>
      </c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49"/>
      <c r="V132" s="10"/>
      <c r="W132" s="56" t="str">
        <f>LEFT(A132,6)</f>
        <v>2.2.6 </v>
      </c>
    </row>
    <row r="133" spans="1:23" ht="24.75" customHeight="1">
      <c r="A133" s="246" t="s">
        <v>149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8"/>
      <c r="U133" s="52">
        <f>U134-SUM(U127:U132)</f>
        <v>58791.03999999998</v>
      </c>
      <c r="V133" s="10"/>
      <c r="W133" s="56"/>
    </row>
    <row r="134" spans="1:23" ht="26.25" customHeight="1" thickBot="1">
      <c r="A134" s="94" t="s">
        <v>135</v>
      </c>
      <c r="B134" s="72"/>
      <c r="C134" s="70"/>
      <c r="D134" s="78">
        <f>D128+D127</f>
        <v>5</v>
      </c>
      <c r="E134" s="71"/>
      <c r="F134" s="72"/>
      <c r="G134" s="72"/>
      <c r="H134" s="73"/>
      <c r="I134" s="72"/>
      <c r="J134" s="72"/>
      <c r="K134" s="73"/>
      <c r="L134" s="72"/>
      <c r="M134" s="72"/>
      <c r="N134" s="73"/>
      <c r="O134" s="72"/>
      <c r="P134" s="72"/>
      <c r="Q134" s="73">
        <f>SUM(Q127:Q128)</f>
        <v>0</v>
      </c>
      <c r="R134" s="73"/>
      <c r="S134" s="73"/>
      <c r="T134" s="71">
        <f>SUM(T127:T130)</f>
        <v>32976.240000000005</v>
      </c>
      <c r="U134" s="52">
        <v>263809.92</v>
      </c>
      <c r="V134" s="10"/>
      <c r="W134" s="56"/>
    </row>
    <row r="135" spans="1:23" ht="27" customHeight="1" thickBot="1">
      <c r="A135" s="249" t="s">
        <v>95</v>
      </c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1"/>
      <c r="V135" s="10"/>
      <c r="W135" s="56" t="str">
        <f>LEFT(A134,6)</f>
        <v>Всього</v>
      </c>
    </row>
    <row r="136" spans="1:25" ht="27" customHeight="1">
      <c r="A136" s="252" t="s">
        <v>31</v>
      </c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4"/>
      <c r="V136" s="9" t="s">
        <v>3</v>
      </c>
      <c r="W136" s="2">
        <v>8</v>
      </c>
      <c r="X136" s="14"/>
      <c r="Y136" s="14"/>
    </row>
    <row r="137" spans="1:25" ht="26.25" customHeight="1">
      <c r="A137" s="60">
        <v>1</v>
      </c>
      <c r="B137" s="70" t="s">
        <v>64</v>
      </c>
      <c r="C137" s="60">
        <v>5</v>
      </c>
      <c r="D137" s="81">
        <v>0.5</v>
      </c>
      <c r="E137" s="80">
        <v>2859</v>
      </c>
      <c r="F137" s="74"/>
      <c r="G137" s="60">
        <f>H137*$D137</f>
        <v>0</v>
      </c>
      <c r="H137" s="73"/>
      <c r="I137" s="74"/>
      <c r="J137" s="60">
        <f>K137*$D137</f>
        <v>0</v>
      </c>
      <c r="K137" s="73"/>
      <c r="L137" s="74"/>
      <c r="M137" s="60">
        <f>N137*D137</f>
        <v>0</v>
      </c>
      <c r="N137" s="73"/>
      <c r="O137" s="74"/>
      <c r="P137" s="60">
        <f>Q137*D137</f>
        <v>0</v>
      </c>
      <c r="Q137" s="71">
        <f>E137*O137*D137/100</f>
        <v>0</v>
      </c>
      <c r="R137" s="108">
        <f>S137</f>
        <v>932</v>
      </c>
      <c r="S137" s="48">
        <f>MAX($W$1-ROUND(ROUND((E137+H137+N137+K137)*D137,2)/D137,2),0)*D137</f>
        <v>932</v>
      </c>
      <c r="T137" s="48">
        <f>ROUND((E137+H137+N137)*D137+K137+Q137+S137,2)</f>
        <v>2361.5</v>
      </c>
      <c r="U137" s="60">
        <f>ROUND(T137*$W$92,2)</f>
        <v>18892</v>
      </c>
      <c r="V137" s="14"/>
      <c r="W137" s="69"/>
      <c r="X137" s="14"/>
      <c r="Y137" s="14"/>
    </row>
    <row r="138" spans="1:25" ht="24" customHeight="1" thickBot="1">
      <c r="A138" s="30">
        <v>2</v>
      </c>
      <c r="B138" s="47" t="s">
        <v>63</v>
      </c>
      <c r="C138" s="60">
        <v>6</v>
      </c>
      <c r="D138" s="80">
        <v>2</v>
      </c>
      <c r="E138" s="80">
        <v>3048</v>
      </c>
      <c r="F138" s="60"/>
      <c r="G138" s="60">
        <f>H138*$D138</f>
        <v>0</v>
      </c>
      <c r="H138" s="71"/>
      <c r="I138" s="60"/>
      <c r="J138" s="60">
        <f>K138*$D138</f>
        <v>0</v>
      </c>
      <c r="K138" s="71">
        <f>ROUND(E138*I138/100,2)</f>
        <v>0</v>
      </c>
      <c r="L138" s="60"/>
      <c r="M138" s="60">
        <f>N138*D138</f>
        <v>0</v>
      </c>
      <c r="N138" s="81"/>
      <c r="O138" s="60"/>
      <c r="P138" s="60">
        <f>Q138*D138</f>
        <v>0</v>
      </c>
      <c r="Q138" s="71">
        <f>E138*O138*D138/100</f>
        <v>0</v>
      </c>
      <c r="R138" s="108">
        <f>S138</f>
        <v>3350</v>
      </c>
      <c r="S138" s="48">
        <f>MAX($W$1-ROUND(ROUND((E138+H138+N138+K138)*D138,2)/D138,2),0)*D138</f>
        <v>3350</v>
      </c>
      <c r="T138" s="48">
        <f>ROUND((E138+H138+N138)*D138+K138+Q138+S138,2)</f>
        <v>9446</v>
      </c>
      <c r="U138" s="60">
        <f>ROUND(T138*$W$92,2)</f>
        <v>75568</v>
      </c>
      <c r="V138" s="10">
        <f>IF(D137&gt;0,IF((U137/D137-Q137)&gt;$W$1,0,($W$1-(U137/D137-Q137))*D137),0)</f>
        <v>0</v>
      </c>
      <c r="W138" s="69"/>
      <c r="X138" s="14"/>
      <c r="Y138" s="14"/>
    </row>
    <row r="139" spans="1:25" ht="24" customHeight="1" thickBot="1">
      <c r="A139" s="255" t="s">
        <v>32</v>
      </c>
      <c r="B139" s="256"/>
      <c r="C139" s="95" t="s">
        <v>96</v>
      </c>
      <c r="D139" s="26">
        <f>SUM(D137:D138)</f>
        <v>2.5</v>
      </c>
      <c r="E139" s="50">
        <f>T139-H139-N139-K139-Q139-S139</f>
        <v>7525.5</v>
      </c>
      <c r="F139" s="55"/>
      <c r="G139" s="25">
        <f>H139*$D139</f>
        <v>0</v>
      </c>
      <c r="H139" s="31"/>
      <c r="I139" s="55"/>
      <c r="J139" s="25">
        <f>K139*$D139</f>
        <v>0</v>
      </c>
      <c r="K139" s="31"/>
      <c r="L139" s="55"/>
      <c r="M139" s="25">
        <f>N139*D139</f>
        <v>0</v>
      </c>
      <c r="N139" s="31"/>
      <c r="O139" s="55"/>
      <c r="P139" s="25">
        <f>Q139*D139</f>
        <v>0</v>
      </c>
      <c r="Q139" s="31"/>
      <c r="R139" s="31"/>
      <c r="S139" s="31">
        <f>SUM(S137:S138)</f>
        <v>4282</v>
      </c>
      <c r="T139" s="50">
        <f>SUM(T137:T138)</f>
        <v>11807.5</v>
      </c>
      <c r="U139" s="23">
        <f>SUM(U137:U138)</f>
        <v>94460</v>
      </c>
      <c r="V139" s="10"/>
      <c r="W139" s="69"/>
      <c r="X139" s="14"/>
      <c r="Y139" s="14"/>
    </row>
    <row r="140" spans="1:23" ht="27.75" customHeight="1">
      <c r="A140" s="238" t="s">
        <v>33</v>
      </c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40"/>
      <c r="W140" s="56"/>
    </row>
    <row r="141" spans="1:23" ht="31.5" customHeight="1">
      <c r="A141" s="30">
        <v>1</v>
      </c>
      <c r="B141" s="53" t="s">
        <v>34</v>
      </c>
      <c r="C141" s="23">
        <v>3</v>
      </c>
      <c r="D141" s="27">
        <v>4</v>
      </c>
      <c r="E141" s="27">
        <v>2480</v>
      </c>
      <c r="F141" s="23"/>
      <c r="G141" s="23">
        <f>H141*$D141</f>
        <v>0</v>
      </c>
      <c r="H141" s="48"/>
      <c r="I141" s="23"/>
      <c r="J141" s="23">
        <f>K141*$D141</f>
        <v>0</v>
      </c>
      <c r="K141" s="48"/>
      <c r="L141" s="23"/>
      <c r="M141" s="23">
        <f>N141*D141</f>
        <v>0</v>
      </c>
      <c r="N141" s="48"/>
      <c r="O141" s="23">
        <v>13</v>
      </c>
      <c r="P141" s="48">
        <f>Q141</f>
        <v>1289.6</v>
      </c>
      <c r="Q141" s="71">
        <f>E141*O141*D141/100</f>
        <v>1289.6</v>
      </c>
      <c r="R141" s="108">
        <f>S141</f>
        <v>8972</v>
      </c>
      <c r="S141" s="48">
        <f>MAX($W$1-ROUND(ROUND((E141+H141+N141+K141)*D141,2)/D141,2),0)*D141</f>
        <v>8972</v>
      </c>
      <c r="T141" s="48">
        <f>ROUND((E141+H141+N141)*D141+K141+Q141+S141,2)</f>
        <v>20181.6</v>
      </c>
      <c r="U141" s="91">
        <f>ROUND(T141*$W$92,2)</f>
        <v>161452.8</v>
      </c>
      <c r="W141" s="56"/>
    </row>
    <row r="142" spans="1:23" ht="37.5" customHeight="1" thickBot="1">
      <c r="A142" s="30">
        <v>2</v>
      </c>
      <c r="B142" s="57" t="s">
        <v>21</v>
      </c>
      <c r="C142" s="23">
        <v>2</v>
      </c>
      <c r="D142" s="27">
        <v>2</v>
      </c>
      <c r="E142" s="27">
        <v>2291</v>
      </c>
      <c r="F142" s="23"/>
      <c r="G142" s="23">
        <f>H142*$D142</f>
        <v>0</v>
      </c>
      <c r="H142" s="48"/>
      <c r="I142" s="23"/>
      <c r="J142" s="23">
        <f>K142*$D142</f>
        <v>0</v>
      </c>
      <c r="K142" s="48"/>
      <c r="L142" s="23"/>
      <c r="M142" s="23">
        <f>N142*D142</f>
        <v>0</v>
      </c>
      <c r="N142" s="48"/>
      <c r="O142" s="23">
        <v>10</v>
      </c>
      <c r="P142" s="48">
        <f>Q142</f>
        <v>458.2</v>
      </c>
      <c r="Q142" s="71">
        <f>E142*O142*D142/100</f>
        <v>458.2</v>
      </c>
      <c r="R142" s="108">
        <f>S142</f>
        <v>4864</v>
      </c>
      <c r="S142" s="48">
        <f>MAX($W$1-ROUND(ROUND((E142+H142+N142+K142)*D142,2)/D142,2),0)*D142</f>
        <v>4864</v>
      </c>
      <c r="T142" s="48">
        <f>ROUND((E142+H142+N142)*D142+K142+Q142+S142,2)</f>
        <v>9904.2</v>
      </c>
      <c r="U142" s="91">
        <f>ROUND(T142*$W$92,2)</f>
        <v>79233.6</v>
      </c>
      <c r="V142" s="10">
        <f>IF(D141&gt;0,IF((U141/D141-Q141)&gt;$W$1,0,($W$1-(U141/D141-Q141))*D141),0)</f>
        <v>0</v>
      </c>
      <c r="W142" s="56"/>
    </row>
    <row r="143" spans="1:23" ht="41.25" customHeight="1" thickBot="1">
      <c r="A143" s="255" t="s">
        <v>35</v>
      </c>
      <c r="B143" s="258"/>
      <c r="C143" s="28"/>
      <c r="D143" s="26">
        <f>SUM(D141:D142)</f>
        <v>6</v>
      </c>
      <c r="E143" s="50">
        <f>T143-H143-N143-K143-Q143-S143</f>
        <v>14502</v>
      </c>
      <c r="F143" s="25" t="s">
        <v>15</v>
      </c>
      <c r="G143" s="25"/>
      <c r="H143" s="50">
        <f>SUM(G141:G142)</f>
        <v>0</v>
      </c>
      <c r="I143" s="25" t="s">
        <v>15</v>
      </c>
      <c r="J143" s="25"/>
      <c r="K143" s="50">
        <f>SUM(J141:J142)</f>
        <v>0</v>
      </c>
      <c r="L143" s="25" t="s">
        <v>15</v>
      </c>
      <c r="M143" s="25"/>
      <c r="N143" s="50">
        <f>SUM(M141:M142)</f>
        <v>0</v>
      </c>
      <c r="O143" s="25"/>
      <c r="P143" s="25"/>
      <c r="Q143" s="50">
        <f>SUM(P141:P142)</f>
        <v>1747.8</v>
      </c>
      <c r="R143" s="106"/>
      <c r="S143" s="50">
        <f>SUM(R141:R142)</f>
        <v>13836</v>
      </c>
      <c r="T143" s="50">
        <f>SUM(T141:T142)</f>
        <v>30085.8</v>
      </c>
      <c r="U143" s="51">
        <f>SUM(U140:U142)</f>
        <v>240686.4</v>
      </c>
      <c r="V143" s="10">
        <f>IF(D142&gt;0,IF((U142/D142-Q142)&gt;$W$1,0,($W$1-(U142/D142-Q142))*D142),0)</f>
        <v>0</v>
      </c>
      <c r="W143" s="56"/>
    </row>
    <row r="144" spans="1:23" ht="31.5" customHeight="1" thickBot="1">
      <c r="A144" s="255" t="s">
        <v>97</v>
      </c>
      <c r="B144" s="259"/>
      <c r="C144" s="25" t="s">
        <v>96</v>
      </c>
      <c r="D144" s="26">
        <f>D143+D139</f>
        <v>8.5</v>
      </c>
      <c r="E144" s="50">
        <f>E143+E139</f>
        <v>22027.5</v>
      </c>
      <c r="F144" s="28"/>
      <c r="G144" s="28"/>
      <c r="H144" s="50">
        <f>H143+H139</f>
        <v>0</v>
      </c>
      <c r="I144" s="28"/>
      <c r="J144" s="28"/>
      <c r="K144" s="50">
        <f>K143+K139</f>
        <v>0</v>
      </c>
      <c r="L144" s="28"/>
      <c r="M144" s="28"/>
      <c r="N144" s="50">
        <f>N143+N139</f>
        <v>0</v>
      </c>
      <c r="O144" s="28"/>
      <c r="P144" s="28"/>
      <c r="Q144" s="50">
        <f>Q143+Q139</f>
        <v>1747.8</v>
      </c>
      <c r="R144" s="50"/>
      <c r="S144" s="50">
        <f>S143+S139</f>
        <v>18118</v>
      </c>
      <c r="T144" s="50">
        <f>T143+T139</f>
        <v>41893.3</v>
      </c>
      <c r="U144" s="51">
        <f>U143+U139</f>
        <v>335146.4</v>
      </c>
      <c r="V144" s="10"/>
      <c r="W144" s="56"/>
    </row>
    <row r="145" spans="1:23" ht="27.75" customHeight="1" thickBot="1">
      <c r="A145" s="260" t="s">
        <v>133</v>
      </c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62"/>
      <c r="U145" s="102">
        <f>U146-SUM(U144:U144)</f>
        <v>0</v>
      </c>
      <c r="V145" s="10"/>
      <c r="W145" s="56"/>
    </row>
    <row r="146" spans="1:23" ht="25.5" customHeight="1" thickBot="1">
      <c r="A146" s="263" t="s">
        <v>36</v>
      </c>
      <c r="B146" s="264"/>
      <c r="C146" s="62"/>
      <c r="D146" s="26">
        <f>D144</f>
        <v>8.5</v>
      </c>
      <c r="E146" s="61">
        <f>E144</f>
        <v>22027.5</v>
      </c>
      <c r="F146" s="62"/>
      <c r="G146" s="62"/>
      <c r="H146" s="61">
        <f>H144</f>
        <v>0</v>
      </c>
      <c r="I146" s="62"/>
      <c r="J146" s="62"/>
      <c r="K146" s="61">
        <f>K144</f>
        <v>0</v>
      </c>
      <c r="L146" s="62"/>
      <c r="M146" s="62"/>
      <c r="N146" s="61">
        <f>N144</f>
        <v>0</v>
      </c>
      <c r="O146" s="62"/>
      <c r="P146" s="62"/>
      <c r="Q146" s="61">
        <f>Q144</f>
        <v>1747.8</v>
      </c>
      <c r="R146" s="61"/>
      <c r="S146" s="61">
        <f>S144</f>
        <v>18118</v>
      </c>
      <c r="T146" s="61">
        <f>T144</f>
        <v>41893.3</v>
      </c>
      <c r="U146" s="64">
        <v>335146.4</v>
      </c>
      <c r="V146" s="10"/>
      <c r="W146" s="56"/>
    </row>
    <row r="147" spans="1:23" ht="24" customHeight="1" thickBot="1">
      <c r="A147" s="87" t="s">
        <v>37</v>
      </c>
      <c r="B147" s="55"/>
      <c r="C147" s="29"/>
      <c r="D147" s="31">
        <f>D125+D134+D146</f>
        <v>46.5</v>
      </c>
      <c r="E147" s="50"/>
      <c r="F147" s="29"/>
      <c r="G147" s="29"/>
      <c r="H147" s="50">
        <f>H125+H134+H146</f>
        <v>0</v>
      </c>
      <c r="I147" s="29"/>
      <c r="J147" s="29"/>
      <c r="K147" s="50">
        <f>K125+K134+K146</f>
        <v>0</v>
      </c>
      <c r="L147" s="29"/>
      <c r="M147" s="29"/>
      <c r="N147" s="50">
        <f>N125+N134+N146</f>
        <v>0</v>
      </c>
      <c r="O147" s="29"/>
      <c r="P147" s="29"/>
      <c r="Q147" s="50"/>
      <c r="R147" s="50"/>
      <c r="S147" s="50"/>
      <c r="T147" s="50">
        <f>T125+T134+T146</f>
        <v>358433.85000000003</v>
      </c>
      <c r="U147" s="51">
        <f>U125+U134+U146</f>
        <v>2799925</v>
      </c>
      <c r="V147" s="10">
        <f>IF(D146&gt;0,IF((U146/D146-Q146)&gt;$W$1,0,($W$1-(U146/D146-Q146))*D146),0)</f>
        <v>0</v>
      </c>
      <c r="W147" s="56"/>
    </row>
    <row r="148" spans="1:23" ht="27" customHeight="1" thickBot="1">
      <c r="A148" s="265" t="s">
        <v>38</v>
      </c>
      <c r="B148" s="266"/>
      <c r="C148" s="267"/>
      <c r="D148" s="75">
        <f>D91+D147</f>
        <v>255.41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3">
        <f>T91+T147</f>
        <v>1878210.3</v>
      </c>
      <c r="U148" s="102">
        <f>SUM(U91+U147)</f>
        <v>21264725</v>
      </c>
      <c r="V148" s="10"/>
      <c r="W148" s="56"/>
    </row>
    <row r="149" spans="1:23" ht="30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0"/>
      <c r="W149" s="56"/>
    </row>
    <row r="150" spans="1:23" ht="16.5" customHeight="1">
      <c r="A150" s="12"/>
      <c r="B150" s="34" t="s">
        <v>39</v>
      </c>
      <c r="C150" s="13"/>
      <c r="D150" s="14"/>
      <c r="E150" s="13"/>
      <c r="F150" s="12"/>
      <c r="G150" s="12"/>
      <c r="H150" s="15"/>
      <c r="I150" s="15"/>
      <c r="J150" s="12"/>
      <c r="K150" s="15"/>
      <c r="L150" s="15" t="s">
        <v>40</v>
      </c>
      <c r="M150" s="15"/>
      <c r="N150" s="18"/>
      <c r="S150" s="14"/>
      <c r="T150" s="12"/>
      <c r="U150" s="12"/>
      <c r="V150" s="10"/>
      <c r="W150" s="56"/>
    </row>
    <row r="151" spans="1:23" ht="23.25" customHeight="1">
      <c r="A151" s="12"/>
      <c r="B151" s="14"/>
      <c r="C151" s="13"/>
      <c r="D151" s="13"/>
      <c r="E151" s="13"/>
      <c r="F151" s="12"/>
      <c r="G151" s="16"/>
      <c r="H151" s="17"/>
      <c r="I151" s="40" t="s">
        <v>45</v>
      </c>
      <c r="J151" s="17"/>
      <c r="K151" s="35"/>
      <c r="L151" s="17"/>
      <c r="M151" s="17"/>
      <c r="T151" s="12"/>
      <c r="U151" s="12"/>
      <c r="V151" s="10"/>
      <c r="W151" s="56"/>
    </row>
    <row r="152" spans="1:23" ht="21.75" customHeight="1">
      <c r="A152" s="12"/>
      <c r="B152" s="36" t="s">
        <v>102</v>
      </c>
      <c r="C152" s="13"/>
      <c r="D152" s="14"/>
      <c r="E152" s="13"/>
      <c r="F152" s="12"/>
      <c r="H152" s="18"/>
      <c r="I152" s="18"/>
      <c r="J152" s="18"/>
      <c r="K152" s="18"/>
      <c r="L152" s="15" t="s">
        <v>41</v>
      </c>
      <c r="M152" s="18"/>
      <c r="N152" s="18"/>
      <c r="S152" s="14"/>
      <c r="T152" s="12"/>
      <c r="U152" s="12"/>
      <c r="V152" s="10"/>
      <c r="W152" s="56"/>
    </row>
    <row r="153" spans="1:23" ht="21" customHeight="1">
      <c r="A153" s="12"/>
      <c r="C153" s="12"/>
      <c r="D153" s="12"/>
      <c r="E153" s="12"/>
      <c r="F153" s="12"/>
      <c r="G153" s="12"/>
      <c r="H153" s="17"/>
      <c r="I153" s="40" t="s">
        <v>45</v>
      </c>
      <c r="J153" s="17"/>
      <c r="K153" s="35"/>
      <c r="L153" s="17"/>
      <c r="M153" s="17"/>
      <c r="T153" s="12"/>
      <c r="U153" s="12"/>
      <c r="W153" s="56"/>
    </row>
    <row r="154" spans="1:23" ht="19.5" customHeight="1">
      <c r="A154" s="12"/>
      <c r="B154" s="37" t="s">
        <v>2</v>
      </c>
      <c r="C154" s="12"/>
      <c r="D154" s="12"/>
      <c r="E154" s="12"/>
      <c r="F154" s="12"/>
      <c r="G154" s="19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9"/>
      <c r="U154" s="12"/>
      <c r="W154" s="56"/>
    </row>
    <row r="155" spans="1:23" ht="21" customHeight="1">
      <c r="A155" s="12"/>
      <c r="C155" s="12"/>
      <c r="D155" s="12"/>
      <c r="E155" s="12"/>
      <c r="F155" s="12"/>
      <c r="G155" s="15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2"/>
      <c r="U155" s="12"/>
      <c r="V155" s="10"/>
      <c r="W155" s="56"/>
    </row>
    <row r="156" spans="1:23" ht="16.5" customHeight="1">
      <c r="A156" s="12"/>
      <c r="B156" s="38" t="s">
        <v>42</v>
      </c>
      <c r="C156" s="12"/>
      <c r="D156" s="12"/>
      <c r="E156" s="12"/>
      <c r="F156" s="12"/>
      <c r="G156" s="12"/>
      <c r="H156" s="257"/>
      <c r="I156" s="257"/>
      <c r="J156" s="257"/>
      <c r="K156" s="257"/>
      <c r="L156" s="257"/>
      <c r="M156" s="257"/>
      <c r="N156" s="257"/>
      <c r="O156" s="257"/>
      <c r="P156" s="257"/>
      <c r="Q156" s="257"/>
      <c r="R156" s="17"/>
      <c r="S156" s="17"/>
      <c r="T156" s="19"/>
      <c r="U156" s="12"/>
      <c r="W156" s="56"/>
    </row>
    <row r="157" spans="22:23" ht="19.5" customHeight="1">
      <c r="V157" s="10"/>
      <c r="W157" s="56"/>
    </row>
    <row r="158" spans="2:23" ht="18.75" customHeight="1">
      <c r="B158" s="35" t="s">
        <v>43</v>
      </c>
      <c r="C158" s="39"/>
      <c r="H158" s="18"/>
      <c r="I158" s="18"/>
      <c r="J158" s="18"/>
      <c r="K158" s="18"/>
      <c r="L158" s="15" t="s">
        <v>103</v>
      </c>
      <c r="M158" s="18"/>
      <c r="N158" s="18" t="s">
        <v>104</v>
      </c>
      <c r="S158" s="14"/>
      <c r="V158" s="10"/>
      <c r="W158" s="56"/>
    </row>
    <row r="159" spans="2:23" ht="30" customHeight="1">
      <c r="B159" s="35" t="s">
        <v>44</v>
      </c>
      <c r="C159" s="37"/>
      <c r="H159" s="17"/>
      <c r="I159" s="40" t="s">
        <v>45</v>
      </c>
      <c r="J159" s="17"/>
      <c r="M159" s="17"/>
      <c r="V159" s="10"/>
      <c r="W159" s="56"/>
    </row>
    <row r="160" spans="22:23" ht="22.5" customHeight="1">
      <c r="V160" s="10"/>
      <c r="W160" s="56"/>
    </row>
    <row r="161" spans="22:23" ht="30" customHeight="1">
      <c r="V161" s="10"/>
      <c r="W161" s="56"/>
    </row>
    <row r="162" spans="22:23" ht="46.5" customHeight="1">
      <c r="V162" s="10"/>
      <c r="W162" s="56"/>
    </row>
    <row r="163" spans="22:23" ht="30" customHeight="1">
      <c r="V163" s="10"/>
      <c r="W163" s="56"/>
    </row>
    <row r="164" spans="22:23" ht="30" customHeight="1">
      <c r="V164" s="10"/>
      <c r="W164" s="56"/>
    </row>
    <row r="165" spans="22:23" ht="63" customHeight="1">
      <c r="V165" s="10"/>
      <c r="W165" s="56"/>
    </row>
    <row r="166" spans="22:23" ht="29.25" customHeight="1">
      <c r="V166" s="10"/>
      <c r="W166" s="56"/>
    </row>
    <row r="167" ht="33" customHeight="1">
      <c r="V167" s="10"/>
    </row>
    <row r="168" ht="21" customHeight="1"/>
    <row r="169" ht="28.5" customHeight="1">
      <c r="V169" s="11"/>
    </row>
    <row r="170" ht="23.25" customHeight="1">
      <c r="V170" s="11"/>
    </row>
    <row r="171" ht="24" customHeight="1"/>
    <row r="172" ht="23.25" customHeight="1"/>
    <row r="173" ht="23.25" customHeight="1"/>
    <row r="174" ht="26.25" customHeight="1"/>
    <row r="175" ht="32.25" customHeight="1"/>
    <row r="176" ht="23.25" customHeight="1"/>
    <row r="177" ht="45" customHeight="1">
      <c r="V177" s="10"/>
    </row>
    <row r="178" ht="30" customHeight="1">
      <c r="V178" s="10"/>
    </row>
    <row r="179" ht="30" customHeight="1">
      <c r="V179" s="11"/>
    </row>
    <row r="180" ht="30" customHeight="1">
      <c r="V180" s="11"/>
    </row>
    <row r="181" ht="30" customHeight="1"/>
    <row r="182" ht="30" customHeight="1"/>
    <row r="183" ht="30" customHeight="1"/>
    <row r="184" ht="30" customHeight="1"/>
    <row r="185" ht="38.25" customHeight="1"/>
    <row r="186" ht="27" customHeight="1"/>
    <row r="187" ht="21.75" customHeight="1"/>
    <row r="188" ht="30" customHeight="1"/>
    <row r="189" ht="30" customHeight="1"/>
    <row r="190" ht="33.75" customHeight="1"/>
    <row r="191" ht="25.5" customHeight="1"/>
    <row r="192" ht="30" customHeight="1">
      <c r="V192" s="10"/>
    </row>
    <row r="193" ht="45" customHeight="1"/>
    <row r="194" ht="30" customHeight="1"/>
    <row r="195" ht="30" customHeight="1"/>
    <row r="196" ht="30" customHeight="1"/>
    <row r="197" ht="34.5" customHeight="1"/>
    <row r="198" ht="30" customHeight="1">
      <c r="V198" s="10"/>
    </row>
    <row r="199" ht="30" customHeight="1">
      <c r="V199" s="10"/>
    </row>
    <row r="206" ht="12" customHeight="1"/>
    <row r="208" ht="13.5" customHeight="1"/>
    <row r="212" ht="15.75" customHeight="1"/>
  </sheetData>
  <sheetProtection/>
  <mergeCells count="61">
    <mergeCell ref="H156:Q156"/>
    <mergeCell ref="A140:U140"/>
    <mergeCell ref="A143:B143"/>
    <mergeCell ref="A144:B144"/>
    <mergeCell ref="A145:T145"/>
    <mergeCell ref="A146:B146"/>
    <mergeCell ref="A148:C148"/>
    <mergeCell ref="A131:T131"/>
    <mergeCell ref="A132:T132"/>
    <mergeCell ref="A133:T133"/>
    <mergeCell ref="A135:U135"/>
    <mergeCell ref="A136:U136"/>
    <mergeCell ref="A139:B139"/>
    <mergeCell ref="A123:T123"/>
    <mergeCell ref="A124:T124"/>
    <mergeCell ref="A126:U126"/>
    <mergeCell ref="A127:B127"/>
    <mergeCell ref="A129:Q129"/>
    <mergeCell ref="A130:Q130"/>
    <mergeCell ref="A117:B117"/>
    <mergeCell ref="A118:C118"/>
    <mergeCell ref="A119:Q119"/>
    <mergeCell ref="A120:Q120"/>
    <mergeCell ref="A121:T121"/>
    <mergeCell ref="A122:T122"/>
    <mergeCell ref="A94:U94"/>
    <mergeCell ref="A99:B99"/>
    <mergeCell ref="A100:U100"/>
    <mergeCell ref="A111:B111"/>
    <mergeCell ref="A112:U112"/>
    <mergeCell ref="A116:B116"/>
    <mergeCell ref="A86:Q86"/>
    <mergeCell ref="A87:T87"/>
    <mergeCell ref="A88:T88"/>
    <mergeCell ref="A89:T89"/>
    <mergeCell ref="A90:T90"/>
    <mergeCell ref="A91:B91"/>
    <mergeCell ref="A74:B74"/>
    <mergeCell ref="A75:U75"/>
    <mergeCell ref="A82:B82"/>
    <mergeCell ref="A83:B83"/>
    <mergeCell ref="A84:C84"/>
    <mergeCell ref="A85:Q85"/>
    <mergeCell ref="A13:U13"/>
    <mergeCell ref="A14:U14"/>
    <mergeCell ref="A40:B40"/>
    <mergeCell ref="A41:U41"/>
    <mergeCell ref="A44:B44"/>
    <mergeCell ref="A45:U45"/>
    <mergeCell ref="I9:K10"/>
    <mergeCell ref="L9:N10"/>
    <mergeCell ref="O9:Q10"/>
    <mergeCell ref="S9:S10"/>
    <mergeCell ref="T9:T10"/>
    <mergeCell ref="U9:U10"/>
    <mergeCell ref="A9:A10"/>
    <mergeCell ref="B9:B10"/>
    <mergeCell ref="C9:C10"/>
    <mergeCell ref="D9:D10"/>
    <mergeCell ref="E9:E10"/>
    <mergeCell ref="F9:H10"/>
  </mergeCells>
  <printOptions/>
  <pageMargins left="0.35433070866141736" right="0.15748031496062992" top="0.6299212598425197" bottom="0.22" header="0.6299212598425197" footer="0"/>
  <pageSetup fitToHeight="10" horizontalDpi="600" verticalDpi="600" orientation="landscape" paperSize="9" scale="56" r:id="rId1"/>
  <rowBreaks count="6" manualBreakCount="6">
    <brk id="22" min="1" max="20" man="1"/>
    <brk id="44" min="1" max="20" man="1"/>
    <brk id="63" min="1" max="20" man="1"/>
    <brk id="91" min="1" max="20" man="1"/>
    <brk id="111" min="1" max="20" man="1"/>
    <brk id="134" min="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0"/>
  <sheetViews>
    <sheetView showZeros="0" view="pageBreakPreview" zoomScale="67" zoomScaleNormal="65" zoomScaleSheetLayoutView="67" zoomScalePageLayoutView="0" workbookViewId="0" topLeftCell="A133">
      <selection activeCell="U90" sqref="U90"/>
    </sheetView>
  </sheetViews>
  <sheetFormatPr defaultColWidth="9.140625" defaultRowHeight="15"/>
  <cols>
    <col min="1" max="1" width="6.140625" style="4" customWidth="1"/>
    <col min="2" max="2" width="38.57421875" style="4" customWidth="1"/>
    <col min="3" max="3" width="8.421875" style="4" customWidth="1"/>
    <col min="4" max="4" width="9.7109375" style="4" customWidth="1"/>
    <col min="5" max="5" width="16.57421875" style="4" customWidth="1"/>
    <col min="6" max="6" width="6.57421875" style="4" customWidth="1"/>
    <col min="7" max="7" width="0.42578125" style="4" hidden="1" customWidth="1"/>
    <col min="8" max="8" width="14.140625" style="4" customWidth="1"/>
    <col min="9" max="9" width="6.57421875" style="4" customWidth="1"/>
    <col min="10" max="10" width="0.5625" style="4" hidden="1" customWidth="1"/>
    <col min="11" max="11" width="14.140625" style="4" customWidth="1"/>
    <col min="12" max="12" width="7.8515625" style="4" customWidth="1"/>
    <col min="13" max="13" width="7.421875" style="4" hidden="1" customWidth="1"/>
    <col min="14" max="14" width="14.00390625" style="4" customWidth="1"/>
    <col min="15" max="15" width="7.8515625" style="4" customWidth="1"/>
    <col min="16" max="16" width="18.421875" style="4" hidden="1" customWidth="1"/>
    <col min="17" max="17" width="14.421875" style="4" customWidth="1"/>
    <col min="18" max="18" width="1.28515625" style="4" hidden="1" customWidth="1"/>
    <col min="19" max="19" width="15.00390625" style="4" customWidth="1"/>
    <col min="20" max="20" width="19.8515625" style="4" customWidth="1"/>
    <col min="21" max="21" width="22.00390625" style="4" customWidth="1"/>
    <col min="22" max="22" width="16.8515625" style="4" bestFit="1" customWidth="1"/>
    <col min="23" max="23" width="9.140625" style="4" customWidth="1"/>
    <col min="24" max="24" width="11.00390625" style="4" bestFit="1" customWidth="1"/>
    <col min="25" max="25" width="9.140625" style="4" customWidth="1"/>
    <col min="26" max="225" width="9.140625" style="113" customWidth="1"/>
    <col min="226" max="16384" width="9.140625" style="4" customWidth="1"/>
  </cols>
  <sheetData>
    <row r="1" spans="1:23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1" t="s">
        <v>0</v>
      </c>
      <c r="P1" s="1"/>
      <c r="S1" s="1"/>
      <c r="V1" s="112" t="s">
        <v>115</v>
      </c>
      <c r="W1" s="4">
        <v>6000</v>
      </c>
    </row>
    <row r="2" spans="1:23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 t="str">
        <f>CONCATENATE("штат в кількості ",D149," штатних одиниць")</f>
        <v>штат в кількості 256,01 штатних одиниць</v>
      </c>
      <c r="P2" s="1"/>
      <c r="W2" s="112"/>
    </row>
    <row r="3" spans="1:15" ht="27.75" customHeight="1">
      <c r="A3" s="111" t="s">
        <v>161</v>
      </c>
      <c r="B3" s="1"/>
      <c r="C3" s="1"/>
      <c r="D3" s="1"/>
      <c r="E3" s="1"/>
      <c r="F3" s="1"/>
      <c r="O3" s="3" t="str">
        <f>CONCATENATE("з місячним фондом заробітної плати ",T149," гривень")</f>
        <v>з місячним фондом заробітної плати 2514281,24 гривень</v>
      </c>
    </row>
    <row r="4" spans="1:20" ht="22.5" customHeight="1">
      <c r="A4" s="114" t="s">
        <v>160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152</v>
      </c>
      <c r="P4" s="3"/>
      <c r="T4" s="4" t="s">
        <v>162</v>
      </c>
    </row>
    <row r="5" spans="2:16" ht="18">
      <c r="B5" s="5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3" t="s">
        <v>163</v>
      </c>
      <c r="P5" s="1"/>
    </row>
    <row r="6" spans="1:20" ht="18">
      <c r="A6" s="6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"/>
      <c r="N6" s="5"/>
      <c r="O6" s="1"/>
      <c r="P6" s="1"/>
      <c r="T6" s="1"/>
    </row>
    <row r="7" spans="1:23" ht="24" customHeight="1">
      <c r="A7" s="115" t="s">
        <v>1</v>
      </c>
      <c r="B7" s="1"/>
      <c r="C7" s="1"/>
      <c r="Q7" s="116" t="s">
        <v>2</v>
      </c>
      <c r="R7" s="116"/>
      <c r="S7" s="116"/>
      <c r="T7" s="1"/>
      <c r="V7" s="112" t="s">
        <v>3</v>
      </c>
      <c r="W7" s="4">
        <v>12</v>
      </c>
    </row>
    <row r="8" spans="1:21" ht="27.75" customHeight="1" thickBot="1">
      <c r="A8" s="1" t="s">
        <v>151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3" ht="15" customHeight="1">
      <c r="A9" s="319" t="s">
        <v>4</v>
      </c>
      <c r="B9" s="319" t="s">
        <v>116</v>
      </c>
      <c r="C9" s="321" t="s">
        <v>5</v>
      </c>
      <c r="D9" s="321" t="s">
        <v>6</v>
      </c>
      <c r="E9" s="321" t="s">
        <v>117</v>
      </c>
      <c r="F9" s="323" t="s">
        <v>118</v>
      </c>
      <c r="G9" s="323"/>
      <c r="H9" s="323"/>
      <c r="I9" s="317" t="s">
        <v>120</v>
      </c>
      <c r="J9" s="317"/>
      <c r="K9" s="317"/>
      <c r="L9" s="317" t="s">
        <v>119</v>
      </c>
      <c r="M9" s="317"/>
      <c r="N9" s="317"/>
      <c r="O9" s="317" t="s">
        <v>121</v>
      </c>
      <c r="P9" s="317"/>
      <c r="Q9" s="317"/>
      <c r="R9" s="117"/>
      <c r="S9" s="319" t="s">
        <v>122</v>
      </c>
      <c r="T9" s="319" t="s">
        <v>123</v>
      </c>
      <c r="U9" s="319" t="s">
        <v>124</v>
      </c>
      <c r="W9" s="118" t="str">
        <f aca="true" t="shared" si="0" ref="W9:W79">LEFT(A9,6)</f>
        <v>№ п/п</v>
      </c>
    </row>
    <row r="10" spans="1:23" ht="132" customHeight="1" thickBot="1">
      <c r="A10" s="320"/>
      <c r="B10" s="320"/>
      <c r="C10" s="322"/>
      <c r="D10" s="322"/>
      <c r="E10" s="322"/>
      <c r="F10" s="324"/>
      <c r="G10" s="324"/>
      <c r="H10" s="324"/>
      <c r="I10" s="318"/>
      <c r="J10" s="318"/>
      <c r="K10" s="318"/>
      <c r="L10" s="318"/>
      <c r="M10" s="318"/>
      <c r="N10" s="318"/>
      <c r="O10" s="318"/>
      <c r="P10" s="318"/>
      <c r="Q10" s="318"/>
      <c r="R10" s="119"/>
      <c r="S10" s="320"/>
      <c r="T10" s="320"/>
      <c r="U10" s="320"/>
      <c r="V10" s="1"/>
      <c r="W10" s="118">
        <f t="shared" si="0"/>
      </c>
    </row>
    <row r="11" spans="1:23" ht="23.25" customHeight="1" thickBot="1">
      <c r="A11" s="120"/>
      <c r="B11" s="120"/>
      <c r="C11" s="121"/>
      <c r="D11" s="121"/>
      <c r="E11" s="122" t="s">
        <v>8</v>
      </c>
      <c r="F11" s="123" t="s">
        <v>7</v>
      </c>
      <c r="G11" s="123"/>
      <c r="H11" s="123" t="s">
        <v>8</v>
      </c>
      <c r="I11" s="123" t="s">
        <v>7</v>
      </c>
      <c r="J11" s="123"/>
      <c r="K11" s="123" t="s">
        <v>8</v>
      </c>
      <c r="L11" s="123" t="s">
        <v>7</v>
      </c>
      <c r="M11" s="123"/>
      <c r="N11" s="123" t="s">
        <v>8</v>
      </c>
      <c r="O11" s="123" t="s">
        <v>7</v>
      </c>
      <c r="P11" s="123"/>
      <c r="Q11" s="123" t="s">
        <v>8</v>
      </c>
      <c r="R11" s="123"/>
      <c r="S11" s="122" t="s">
        <v>8</v>
      </c>
      <c r="T11" s="122" t="s">
        <v>8</v>
      </c>
      <c r="U11" s="122" t="s">
        <v>8</v>
      </c>
      <c r="W11" s="118">
        <f t="shared" si="0"/>
      </c>
    </row>
    <row r="12" spans="1:23" ht="27" customHeight="1" thickBot="1">
      <c r="A12" s="97">
        <v>1</v>
      </c>
      <c r="B12" s="97">
        <v>2</v>
      </c>
      <c r="C12" s="97">
        <v>3</v>
      </c>
      <c r="D12" s="97">
        <v>4</v>
      </c>
      <c r="E12" s="97">
        <v>5</v>
      </c>
      <c r="F12" s="97">
        <v>6</v>
      </c>
      <c r="G12" s="97"/>
      <c r="H12" s="97">
        <v>7</v>
      </c>
      <c r="I12" s="97">
        <v>8</v>
      </c>
      <c r="J12" s="97"/>
      <c r="K12" s="97">
        <v>9</v>
      </c>
      <c r="L12" s="97">
        <v>10</v>
      </c>
      <c r="M12" s="97"/>
      <c r="N12" s="97">
        <v>11</v>
      </c>
      <c r="O12" s="97">
        <v>12</v>
      </c>
      <c r="P12" s="97"/>
      <c r="Q12" s="97">
        <v>13</v>
      </c>
      <c r="R12" s="97"/>
      <c r="S12" s="97">
        <v>14</v>
      </c>
      <c r="T12" s="97">
        <v>15</v>
      </c>
      <c r="U12" s="97">
        <v>16</v>
      </c>
      <c r="W12" s="118" t="str">
        <f t="shared" si="0"/>
        <v>1</v>
      </c>
    </row>
    <row r="13" spans="1:23" ht="31.5" customHeight="1" thickBot="1">
      <c r="A13" s="311" t="s">
        <v>9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W13" s="118" t="str">
        <f t="shared" si="0"/>
        <v>1.Зага</v>
      </c>
    </row>
    <row r="14" spans="1:23" ht="30.75" customHeight="1">
      <c r="A14" s="314" t="s">
        <v>107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6"/>
      <c r="W14" s="118" t="str">
        <f t="shared" si="0"/>
        <v>1.1.Ад</v>
      </c>
    </row>
    <row r="15" spans="1:23" ht="51" customHeight="1">
      <c r="A15" s="124">
        <v>1</v>
      </c>
      <c r="B15" s="125" t="s">
        <v>173</v>
      </c>
      <c r="C15" s="126">
        <v>18</v>
      </c>
      <c r="D15" s="127">
        <v>1</v>
      </c>
      <c r="E15" s="128">
        <v>9428.1</v>
      </c>
      <c r="F15" s="127">
        <v>30</v>
      </c>
      <c r="G15" s="126">
        <f aca="true" t="shared" si="1" ref="G15:G39">H15*$D15</f>
        <v>2828.43</v>
      </c>
      <c r="H15" s="128">
        <f>E15*F15*D15/100</f>
        <v>2828.43</v>
      </c>
      <c r="I15" s="126">
        <v>25</v>
      </c>
      <c r="J15" s="126">
        <f aca="true" t="shared" si="2" ref="J15:J39">K15*$D15</f>
        <v>2357.03</v>
      </c>
      <c r="K15" s="128">
        <f aca="true" t="shared" si="3" ref="K15:K22">ROUND(E15*I15/100,2)</f>
        <v>2357.03</v>
      </c>
      <c r="L15" s="126">
        <v>15</v>
      </c>
      <c r="M15" s="126">
        <f>N15*D15</f>
        <v>1414.22</v>
      </c>
      <c r="N15" s="128">
        <f>ROUND(E15*L15/100,2)</f>
        <v>1414.22</v>
      </c>
      <c r="O15" s="126">
        <v>100</v>
      </c>
      <c r="P15" s="126">
        <f aca="true" t="shared" si="4" ref="P15:P39">Q15*D15</f>
        <v>9428.1</v>
      </c>
      <c r="Q15" s="128">
        <f aca="true" t="shared" si="5" ref="Q15:Q22">ROUND(E15*O15/100,2)</f>
        <v>9428.1</v>
      </c>
      <c r="R15" s="128">
        <f>S15*D15</f>
        <v>0</v>
      </c>
      <c r="S15" s="128">
        <f aca="true" t="shared" si="6" ref="S15:S39">MAX($W$1-ROUND(ROUND((E15+H15+N15+K15+Q15)*D15,2)/D15,2),0)</f>
        <v>0</v>
      </c>
      <c r="T15" s="128">
        <f aca="true" t="shared" si="7" ref="T15:T39">ROUND((E15+H15+N15+K15+Q15)*D15,2)</f>
        <v>25455.88</v>
      </c>
      <c r="U15" s="129">
        <f aca="true" t="shared" si="8" ref="U15:U39">ROUND(SUM(T15*$W$7),2)</f>
        <v>305470.56</v>
      </c>
      <c r="V15" s="130">
        <f aca="true" t="shared" si="9" ref="V15:V39">IF(D15&gt;0,IF((U15/D15-Q15)&gt;$W$1,0,($W$1-(U15/D15-Q15))*D15),0)</f>
        <v>0</v>
      </c>
      <c r="W15" s="118" t="str">
        <f t="shared" si="0"/>
        <v>1</v>
      </c>
    </row>
    <row r="16" spans="1:23" ht="57.75" customHeight="1">
      <c r="A16" s="124">
        <v>2</v>
      </c>
      <c r="B16" s="125" t="s">
        <v>174</v>
      </c>
      <c r="C16" s="131">
        <v>0.95</v>
      </c>
      <c r="D16" s="127">
        <v>1</v>
      </c>
      <c r="E16" s="128">
        <f>E15*0.95</f>
        <v>8956.695</v>
      </c>
      <c r="F16" s="126">
        <v>30</v>
      </c>
      <c r="G16" s="126">
        <f t="shared" si="1"/>
        <v>2687.0085</v>
      </c>
      <c r="H16" s="128">
        <f>E16*F16*D16/100</f>
        <v>2687.0085</v>
      </c>
      <c r="I16" s="126">
        <v>25</v>
      </c>
      <c r="J16" s="126">
        <f t="shared" si="2"/>
        <v>2239.17</v>
      </c>
      <c r="K16" s="128">
        <f t="shared" si="3"/>
        <v>2239.17</v>
      </c>
      <c r="L16" s="126">
        <v>15</v>
      </c>
      <c r="M16" s="126">
        <f aca="true" t="shared" si="10" ref="M16:M39">N16*D16</f>
        <v>1343.5</v>
      </c>
      <c r="N16" s="128">
        <f>ROUND(E16*L16/100,2)</f>
        <v>1343.5</v>
      </c>
      <c r="O16" s="126">
        <v>25</v>
      </c>
      <c r="P16" s="126">
        <f t="shared" si="4"/>
        <v>2239.17</v>
      </c>
      <c r="Q16" s="128">
        <f t="shared" si="5"/>
        <v>2239.17</v>
      </c>
      <c r="R16" s="128">
        <f aca="true" t="shared" si="11" ref="R16:R39">S16*D16</f>
        <v>0</v>
      </c>
      <c r="S16" s="128">
        <f t="shared" si="6"/>
        <v>0</v>
      </c>
      <c r="T16" s="128">
        <f t="shared" si="7"/>
        <v>17465.54</v>
      </c>
      <c r="U16" s="129">
        <f t="shared" si="8"/>
        <v>209586.48</v>
      </c>
      <c r="V16" s="130">
        <f t="shared" si="9"/>
        <v>0</v>
      </c>
      <c r="W16" s="118" t="str">
        <f t="shared" si="0"/>
        <v>2</v>
      </c>
    </row>
    <row r="17" spans="1:23" ht="59.25" customHeight="1">
      <c r="A17" s="124">
        <v>3</v>
      </c>
      <c r="B17" s="125" t="s">
        <v>175</v>
      </c>
      <c r="C17" s="131">
        <v>0.9</v>
      </c>
      <c r="D17" s="127">
        <v>1</v>
      </c>
      <c r="E17" s="128">
        <f>E15*C17</f>
        <v>8485.29</v>
      </c>
      <c r="F17" s="126">
        <v>20</v>
      </c>
      <c r="G17" s="126">
        <f t="shared" si="1"/>
        <v>1697.0580000000002</v>
      </c>
      <c r="H17" s="128">
        <f>E17*F17*D17/100</f>
        <v>1697.0580000000002</v>
      </c>
      <c r="I17" s="126">
        <v>25</v>
      </c>
      <c r="J17" s="126">
        <f t="shared" si="2"/>
        <v>2121.32</v>
      </c>
      <c r="K17" s="128">
        <f t="shared" si="3"/>
        <v>2121.32</v>
      </c>
      <c r="L17" s="126">
        <v>15</v>
      </c>
      <c r="M17" s="126">
        <f t="shared" si="10"/>
        <v>1272.79</v>
      </c>
      <c r="N17" s="128">
        <f>ROUND(E17*L17/100,2)</f>
        <v>1272.79</v>
      </c>
      <c r="O17" s="126">
        <v>10</v>
      </c>
      <c r="P17" s="126">
        <f t="shared" si="4"/>
        <v>848.53</v>
      </c>
      <c r="Q17" s="128">
        <f t="shared" si="5"/>
        <v>848.53</v>
      </c>
      <c r="R17" s="128">
        <f t="shared" si="11"/>
        <v>0</v>
      </c>
      <c r="S17" s="128">
        <f t="shared" si="6"/>
        <v>0</v>
      </c>
      <c r="T17" s="128">
        <f t="shared" si="7"/>
        <v>14424.99</v>
      </c>
      <c r="U17" s="129">
        <f t="shared" si="8"/>
        <v>173099.88</v>
      </c>
      <c r="V17" s="130">
        <f t="shared" si="9"/>
        <v>0</v>
      </c>
      <c r="W17" s="118" t="str">
        <f t="shared" si="0"/>
        <v>3</v>
      </c>
    </row>
    <row r="18" spans="1:23" ht="74.25" customHeight="1">
      <c r="A18" s="124">
        <v>4</v>
      </c>
      <c r="B18" s="125" t="s">
        <v>156</v>
      </c>
      <c r="C18" s="131">
        <v>0.9</v>
      </c>
      <c r="D18" s="128">
        <v>0.75</v>
      </c>
      <c r="E18" s="128">
        <f>E15*C18</f>
        <v>8485.29</v>
      </c>
      <c r="F18" s="126">
        <v>10</v>
      </c>
      <c r="G18" s="126">
        <f t="shared" si="1"/>
        <v>477.2975625</v>
      </c>
      <c r="H18" s="128">
        <f>E18*F18*D18/100</f>
        <v>636.39675</v>
      </c>
      <c r="I18" s="126">
        <v>25</v>
      </c>
      <c r="J18" s="126">
        <f t="shared" si="2"/>
        <v>1590.9900000000002</v>
      </c>
      <c r="K18" s="128">
        <f t="shared" si="3"/>
        <v>2121.32</v>
      </c>
      <c r="L18" s="126">
        <v>15</v>
      </c>
      <c r="M18" s="126">
        <f t="shared" si="10"/>
        <v>954.5925</v>
      </c>
      <c r="N18" s="128">
        <f>ROUND(E18*L18/100,2)</f>
        <v>1272.79</v>
      </c>
      <c r="O18" s="126"/>
      <c r="P18" s="126">
        <f t="shared" si="4"/>
        <v>0</v>
      </c>
      <c r="Q18" s="128">
        <f t="shared" si="5"/>
        <v>0</v>
      </c>
      <c r="R18" s="128">
        <f t="shared" si="11"/>
        <v>0</v>
      </c>
      <c r="S18" s="128">
        <f t="shared" si="6"/>
        <v>0</v>
      </c>
      <c r="T18" s="128">
        <f t="shared" si="7"/>
        <v>9386.85</v>
      </c>
      <c r="U18" s="129">
        <f t="shared" si="8"/>
        <v>112642.2</v>
      </c>
      <c r="V18" s="130">
        <f t="shared" si="9"/>
        <v>0</v>
      </c>
      <c r="W18" s="118" t="str">
        <f t="shared" si="0"/>
        <v>4</v>
      </c>
    </row>
    <row r="19" spans="1:23" ht="45.75" customHeight="1">
      <c r="A19" s="124">
        <v>5</v>
      </c>
      <c r="B19" s="125" t="s">
        <v>70</v>
      </c>
      <c r="C19" s="126">
        <v>13</v>
      </c>
      <c r="D19" s="127">
        <v>1</v>
      </c>
      <c r="E19" s="128">
        <v>6667.1</v>
      </c>
      <c r="F19" s="126">
        <v>30</v>
      </c>
      <c r="G19" s="126">
        <f t="shared" si="1"/>
        <v>2000.13</v>
      </c>
      <c r="H19" s="128">
        <f aca="true" t="shared" si="12" ref="H19:H39">E19*F19/100</f>
        <v>2000.13</v>
      </c>
      <c r="I19" s="126">
        <v>25</v>
      </c>
      <c r="J19" s="126">
        <f t="shared" si="2"/>
        <v>1666.78</v>
      </c>
      <c r="K19" s="128">
        <f t="shared" si="3"/>
        <v>1666.78</v>
      </c>
      <c r="L19" s="126">
        <v>0</v>
      </c>
      <c r="M19" s="126">
        <f t="shared" si="10"/>
        <v>0</v>
      </c>
      <c r="N19" s="128">
        <f>ROUND(E19*L19/100*D19,2)</f>
        <v>0</v>
      </c>
      <c r="O19" s="126">
        <v>0</v>
      </c>
      <c r="P19" s="126">
        <f t="shared" si="4"/>
        <v>0</v>
      </c>
      <c r="Q19" s="128">
        <f t="shared" si="5"/>
        <v>0</v>
      </c>
      <c r="R19" s="128">
        <f t="shared" si="11"/>
        <v>0</v>
      </c>
      <c r="S19" s="128">
        <f t="shared" si="6"/>
        <v>0</v>
      </c>
      <c r="T19" s="128">
        <f t="shared" si="7"/>
        <v>10334.01</v>
      </c>
      <c r="U19" s="129">
        <f>ROUND(SUM(T19*$W$7),2)</f>
        <v>124008.12</v>
      </c>
      <c r="V19" s="130">
        <f t="shared" si="9"/>
        <v>0</v>
      </c>
      <c r="W19" s="118" t="str">
        <f t="shared" si="0"/>
        <v>5</v>
      </c>
    </row>
    <row r="20" spans="1:23" ht="57" customHeight="1">
      <c r="A20" s="124"/>
      <c r="B20" s="125" t="s">
        <v>71</v>
      </c>
      <c r="C20" s="126">
        <v>13</v>
      </c>
      <c r="D20" s="127">
        <v>1</v>
      </c>
      <c r="E20" s="128">
        <v>6667.1</v>
      </c>
      <c r="F20" s="126">
        <v>30</v>
      </c>
      <c r="G20" s="126">
        <f t="shared" si="1"/>
        <v>2000.13</v>
      </c>
      <c r="H20" s="128">
        <f t="shared" si="12"/>
        <v>2000.13</v>
      </c>
      <c r="I20" s="126">
        <v>25</v>
      </c>
      <c r="J20" s="126">
        <f t="shared" si="2"/>
        <v>1666.78</v>
      </c>
      <c r="K20" s="128">
        <f t="shared" si="3"/>
        <v>1666.78</v>
      </c>
      <c r="L20" s="126"/>
      <c r="M20" s="126">
        <f t="shared" si="10"/>
        <v>0</v>
      </c>
      <c r="N20" s="128"/>
      <c r="O20" s="126"/>
      <c r="P20" s="126">
        <f t="shared" si="4"/>
        <v>0</v>
      </c>
      <c r="Q20" s="128">
        <f t="shared" si="5"/>
        <v>0</v>
      </c>
      <c r="R20" s="128">
        <f t="shared" si="11"/>
        <v>0</v>
      </c>
      <c r="S20" s="128">
        <f t="shared" si="6"/>
        <v>0</v>
      </c>
      <c r="T20" s="128">
        <f t="shared" si="7"/>
        <v>10334.01</v>
      </c>
      <c r="U20" s="129">
        <f>ROUND(SUM(T20*$W$7),2)</f>
        <v>124008.12</v>
      </c>
      <c r="V20" s="130">
        <f t="shared" si="9"/>
        <v>0</v>
      </c>
      <c r="W20" s="118">
        <f t="shared" si="0"/>
      </c>
    </row>
    <row r="21" spans="1:23" ht="63" customHeight="1">
      <c r="A21" s="124"/>
      <c r="B21" s="125" t="s">
        <v>176</v>
      </c>
      <c r="C21" s="126">
        <v>13</v>
      </c>
      <c r="D21" s="127">
        <v>1</v>
      </c>
      <c r="E21" s="128">
        <v>6667.1</v>
      </c>
      <c r="F21" s="126">
        <v>20</v>
      </c>
      <c r="G21" s="126">
        <f t="shared" si="1"/>
        <v>1333.42</v>
      </c>
      <c r="H21" s="128">
        <f t="shared" si="12"/>
        <v>1333.42</v>
      </c>
      <c r="I21" s="126">
        <v>25</v>
      </c>
      <c r="J21" s="126">
        <f t="shared" si="2"/>
        <v>1666.78</v>
      </c>
      <c r="K21" s="128">
        <f t="shared" si="3"/>
        <v>1666.78</v>
      </c>
      <c r="L21" s="126"/>
      <c r="M21" s="126">
        <f t="shared" si="10"/>
        <v>0</v>
      </c>
      <c r="N21" s="128"/>
      <c r="O21" s="126">
        <v>15</v>
      </c>
      <c r="P21" s="126">
        <f t="shared" si="4"/>
        <v>1000.07</v>
      </c>
      <c r="Q21" s="128">
        <f t="shared" si="5"/>
        <v>1000.07</v>
      </c>
      <c r="R21" s="128">
        <f t="shared" si="11"/>
        <v>0</v>
      </c>
      <c r="S21" s="128">
        <f t="shared" si="6"/>
        <v>0</v>
      </c>
      <c r="T21" s="128">
        <f t="shared" si="7"/>
        <v>10667.37</v>
      </c>
      <c r="U21" s="129">
        <f>ROUND(SUM(T21*$W$7),2)</f>
        <v>128008.44</v>
      </c>
      <c r="V21" s="130">
        <f t="shared" si="9"/>
        <v>0</v>
      </c>
      <c r="W21" s="118">
        <f t="shared" si="0"/>
      </c>
    </row>
    <row r="22" spans="1:23" ht="81.75" customHeight="1">
      <c r="A22" s="124"/>
      <c r="B22" s="125" t="s">
        <v>177</v>
      </c>
      <c r="C22" s="126">
        <v>13</v>
      </c>
      <c r="D22" s="127">
        <v>1</v>
      </c>
      <c r="E22" s="128">
        <v>6667.1</v>
      </c>
      <c r="F22" s="126">
        <v>30</v>
      </c>
      <c r="G22" s="126">
        <f t="shared" si="1"/>
        <v>2000.13</v>
      </c>
      <c r="H22" s="128">
        <f t="shared" si="12"/>
        <v>2000.13</v>
      </c>
      <c r="I22" s="126">
        <v>25</v>
      </c>
      <c r="J22" s="126">
        <f t="shared" si="2"/>
        <v>1666.78</v>
      </c>
      <c r="K22" s="128">
        <f t="shared" si="3"/>
        <v>1666.78</v>
      </c>
      <c r="L22" s="126"/>
      <c r="M22" s="126">
        <f t="shared" si="10"/>
        <v>0</v>
      </c>
      <c r="N22" s="128"/>
      <c r="O22" s="126">
        <v>40</v>
      </c>
      <c r="P22" s="126">
        <f t="shared" si="4"/>
        <v>2666.84</v>
      </c>
      <c r="Q22" s="128">
        <f t="shared" si="5"/>
        <v>2666.84</v>
      </c>
      <c r="R22" s="128">
        <f t="shared" si="11"/>
        <v>0</v>
      </c>
      <c r="S22" s="128">
        <f t="shared" si="6"/>
        <v>0</v>
      </c>
      <c r="T22" s="128">
        <f t="shared" si="7"/>
        <v>13000.85</v>
      </c>
      <c r="U22" s="129">
        <f>ROUND(SUM(T22*$W$7),2)</f>
        <v>156010.2</v>
      </c>
      <c r="V22" s="130">
        <f t="shared" si="9"/>
        <v>0</v>
      </c>
      <c r="W22" s="118">
        <f t="shared" si="0"/>
      </c>
    </row>
    <row r="23" spans="1:23" ht="55.5" customHeight="1">
      <c r="A23" s="124">
        <v>6</v>
      </c>
      <c r="B23" s="125" t="s">
        <v>72</v>
      </c>
      <c r="C23" s="126">
        <v>13</v>
      </c>
      <c r="D23" s="127">
        <v>1</v>
      </c>
      <c r="E23" s="128">
        <v>6667.1</v>
      </c>
      <c r="F23" s="126">
        <v>30</v>
      </c>
      <c r="G23" s="126">
        <f t="shared" si="1"/>
        <v>2000.13</v>
      </c>
      <c r="H23" s="128">
        <f t="shared" si="12"/>
        <v>2000.13</v>
      </c>
      <c r="I23" s="126">
        <v>25</v>
      </c>
      <c r="J23" s="126">
        <f t="shared" si="2"/>
        <v>1666.78</v>
      </c>
      <c r="K23" s="128">
        <f>ROUND(E23*I23/100*D23,2)</f>
        <v>1666.78</v>
      </c>
      <c r="L23" s="126"/>
      <c r="M23" s="126">
        <f t="shared" si="10"/>
        <v>0</v>
      </c>
      <c r="N23" s="128">
        <f>ROUND(E23*L23/100,2)</f>
        <v>0</v>
      </c>
      <c r="O23" s="126">
        <v>0</v>
      </c>
      <c r="P23" s="126">
        <f t="shared" si="4"/>
        <v>0</v>
      </c>
      <c r="Q23" s="128">
        <f>E23*O23/100</f>
        <v>0</v>
      </c>
      <c r="R23" s="128">
        <f t="shared" si="11"/>
        <v>0</v>
      </c>
      <c r="S23" s="128">
        <f t="shared" si="6"/>
        <v>0</v>
      </c>
      <c r="T23" s="128">
        <f t="shared" si="7"/>
        <v>10334.01</v>
      </c>
      <c r="U23" s="129">
        <f t="shared" si="8"/>
        <v>124008.12</v>
      </c>
      <c r="V23" s="130">
        <f t="shared" si="9"/>
        <v>0</v>
      </c>
      <c r="W23" s="118" t="str">
        <f t="shared" si="0"/>
        <v>6</v>
      </c>
    </row>
    <row r="24" spans="1:23" ht="35.25" customHeight="1">
      <c r="A24" s="124">
        <v>7</v>
      </c>
      <c r="B24" s="125" t="s">
        <v>11</v>
      </c>
      <c r="C24" s="126">
        <v>13</v>
      </c>
      <c r="D24" s="127">
        <v>1</v>
      </c>
      <c r="E24" s="128">
        <v>6667.1</v>
      </c>
      <c r="F24" s="126">
        <v>20</v>
      </c>
      <c r="G24" s="126">
        <f t="shared" si="1"/>
        <v>1333.42</v>
      </c>
      <c r="H24" s="128">
        <f t="shared" si="12"/>
        <v>1333.42</v>
      </c>
      <c r="I24" s="126">
        <v>25</v>
      </c>
      <c r="J24" s="126">
        <f t="shared" si="2"/>
        <v>1666.78</v>
      </c>
      <c r="K24" s="128">
        <f>ROUND(E24*I24/100*D24,2)</f>
        <v>1666.78</v>
      </c>
      <c r="L24" s="126"/>
      <c r="M24" s="126">
        <f t="shared" si="10"/>
        <v>0</v>
      </c>
      <c r="N24" s="128">
        <f>ROUND(E24*L24/100,2)</f>
        <v>0</v>
      </c>
      <c r="O24" s="126">
        <v>0</v>
      </c>
      <c r="P24" s="126">
        <f t="shared" si="4"/>
        <v>0</v>
      </c>
      <c r="Q24" s="128">
        <f>E24*O24/100</f>
        <v>0</v>
      </c>
      <c r="R24" s="128">
        <f t="shared" si="11"/>
        <v>0</v>
      </c>
      <c r="S24" s="128">
        <f t="shared" si="6"/>
        <v>0</v>
      </c>
      <c r="T24" s="128">
        <f t="shared" si="7"/>
        <v>9667.3</v>
      </c>
      <c r="U24" s="129">
        <f t="shared" si="8"/>
        <v>116007.6</v>
      </c>
      <c r="V24" s="130">
        <f t="shared" si="9"/>
        <v>0</v>
      </c>
      <c r="W24" s="118" t="str">
        <f t="shared" si="0"/>
        <v>7</v>
      </c>
    </row>
    <row r="25" spans="1:23" ht="30.75" customHeight="1">
      <c r="A25" s="124">
        <v>8</v>
      </c>
      <c r="B25" s="125" t="s">
        <v>12</v>
      </c>
      <c r="C25" s="126">
        <v>13</v>
      </c>
      <c r="D25" s="127">
        <v>1</v>
      </c>
      <c r="E25" s="128">
        <v>6667.1</v>
      </c>
      <c r="F25" s="126">
        <v>20</v>
      </c>
      <c r="G25" s="126">
        <f t="shared" si="1"/>
        <v>1333.42</v>
      </c>
      <c r="H25" s="128">
        <f t="shared" si="12"/>
        <v>1333.42</v>
      </c>
      <c r="I25" s="126">
        <v>25</v>
      </c>
      <c r="J25" s="126">
        <f t="shared" si="2"/>
        <v>1666.78</v>
      </c>
      <c r="K25" s="128">
        <f>ROUND(E25*I25/100*D25,2)</f>
        <v>1666.78</v>
      </c>
      <c r="L25" s="126"/>
      <c r="M25" s="126">
        <f t="shared" si="10"/>
        <v>0</v>
      </c>
      <c r="N25" s="128"/>
      <c r="O25" s="126"/>
      <c r="P25" s="126">
        <f t="shared" si="4"/>
        <v>0</v>
      </c>
      <c r="Q25" s="128"/>
      <c r="R25" s="128">
        <f t="shared" si="11"/>
        <v>0</v>
      </c>
      <c r="S25" s="128">
        <f t="shared" si="6"/>
        <v>0</v>
      </c>
      <c r="T25" s="128">
        <f t="shared" si="7"/>
        <v>9667.3</v>
      </c>
      <c r="U25" s="129">
        <f t="shared" si="8"/>
        <v>116007.6</v>
      </c>
      <c r="V25" s="130">
        <f t="shared" si="9"/>
        <v>0</v>
      </c>
      <c r="W25" s="118" t="str">
        <f t="shared" si="0"/>
        <v>8</v>
      </c>
    </row>
    <row r="26" spans="1:23" ht="28.5" customHeight="1">
      <c r="A26" s="124"/>
      <c r="B26" s="125" t="s">
        <v>12</v>
      </c>
      <c r="C26" s="126">
        <v>14</v>
      </c>
      <c r="D26" s="127">
        <v>1</v>
      </c>
      <c r="E26" s="128">
        <v>7107.1</v>
      </c>
      <c r="F26" s="126">
        <v>30</v>
      </c>
      <c r="G26" s="126">
        <f t="shared" si="1"/>
        <v>2132.13</v>
      </c>
      <c r="H26" s="128">
        <f t="shared" si="12"/>
        <v>2132.13</v>
      </c>
      <c r="I26" s="126">
        <v>25</v>
      </c>
      <c r="J26" s="126">
        <f t="shared" si="2"/>
        <v>1776.78</v>
      </c>
      <c r="K26" s="128">
        <f>ROUND(E26*I26/100*D26,2)</f>
        <v>1776.78</v>
      </c>
      <c r="L26" s="126"/>
      <c r="M26" s="126">
        <f t="shared" si="10"/>
        <v>0</v>
      </c>
      <c r="N26" s="128"/>
      <c r="O26" s="126"/>
      <c r="P26" s="126">
        <f t="shared" si="4"/>
        <v>0</v>
      </c>
      <c r="Q26" s="128"/>
      <c r="R26" s="128">
        <f t="shared" si="11"/>
        <v>0</v>
      </c>
      <c r="S26" s="128">
        <f t="shared" si="6"/>
        <v>0</v>
      </c>
      <c r="T26" s="128">
        <f t="shared" si="7"/>
        <v>11016.01</v>
      </c>
      <c r="U26" s="129">
        <f t="shared" si="8"/>
        <v>132192.12</v>
      </c>
      <c r="V26" s="130">
        <f t="shared" si="9"/>
        <v>0</v>
      </c>
      <c r="W26" s="118">
        <f t="shared" si="0"/>
      </c>
    </row>
    <row r="27" spans="1:23" ht="46.5" customHeight="1">
      <c r="A27" s="124">
        <v>9</v>
      </c>
      <c r="B27" s="125" t="s">
        <v>178</v>
      </c>
      <c r="C27" s="126">
        <v>13</v>
      </c>
      <c r="D27" s="127">
        <v>1</v>
      </c>
      <c r="E27" s="128">
        <v>6667.1</v>
      </c>
      <c r="F27" s="126">
        <v>10</v>
      </c>
      <c r="G27" s="126">
        <f t="shared" si="1"/>
        <v>666.71</v>
      </c>
      <c r="H27" s="128">
        <f t="shared" si="12"/>
        <v>666.71</v>
      </c>
      <c r="I27" s="126">
        <v>25</v>
      </c>
      <c r="J27" s="126">
        <f t="shared" si="2"/>
        <v>1666.78</v>
      </c>
      <c r="K27" s="128">
        <f aca="true" t="shared" si="13" ref="K27:K38">ROUND(E27*I27/100,2)</f>
        <v>1666.78</v>
      </c>
      <c r="L27" s="126"/>
      <c r="M27" s="126">
        <f t="shared" si="10"/>
        <v>0</v>
      </c>
      <c r="N27" s="128">
        <f>ROUND(E27*L27/100*D27,2)</f>
        <v>0</v>
      </c>
      <c r="O27" s="126">
        <v>15</v>
      </c>
      <c r="P27" s="126">
        <f t="shared" si="4"/>
        <v>1000.065</v>
      </c>
      <c r="Q27" s="132">
        <f>E27*O27/100</f>
        <v>1000.065</v>
      </c>
      <c r="R27" s="128">
        <f t="shared" si="11"/>
        <v>0</v>
      </c>
      <c r="S27" s="128">
        <f t="shared" si="6"/>
        <v>0</v>
      </c>
      <c r="T27" s="128">
        <f t="shared" si="7"/>
        <v>10000.66</v>
      </c>
      <c r="U27" s="129">
        <f t="shared" si="8"/>
        <v>120007.92</v>
      </c>
      <c r="V27" s="130">
        <f t="shared" si="9"/>
        <v>0</v>
      </c>
      <c r="W27" s="118" t="str">
        <f t="shared" si="0"/>
        <v>9</v>
      </c>
    </row>
    <row r="28" spans="1:23" ht="52.5" customHeight="1">
      <c r="A28" s="124"/>
      <c r="B28" s="125" t="s">
        <v>51</v>
      </c>
      <c r="C28" s="126">
        <v>13</v>
      </c>
      <c r="D28" s="127">
        <v>1</v>
      </c>
      <c r="E28" s="128">
        <v>6667.1</v>
      </c>
      <c r="F28" s="126">
        <v>10</v>
      </c>
      <c r="G28" s="126">
        <f>H28*$D28</f>
        <v>666.71</v>
      </c>
      <c r="H28" s="128">
        <f>E28*F28/100</f>
        <v>666.71</v>
      </c>
      <c r="I28" s="126">
        <v>25</v>
      </c>
      <c r="J28" s="126">
        <f t="shared" si="2"/>
        <v>1666.78</v>
      </c>
      <c r="K28" s="128">
        <f t="shared" si="13"/>
        <v>1666.78</v>
      </c>
      <c r="L28" s="126"/>
      <c r="M28" s="126">
        <f>N28*D28</f>
        <v>0</v>
      </c>
      <c r="N28" s="128">
        <f>ROUND(E28*L28/100*D28,2)</f>
        <v>0</v>
      </c>
      <c r="O28" s="126"/>
      <c r="P28" s="126">
        <f t="shared" si="4"/>
        <v>0</v>
      </c>
      <c r="Q28" s="128"/>
      <c r="R28" s="128">
        <f t="shared" si="11"/>
        <v>0</v>
      </c>
      <c r="S28" s="128">
        <f t="shared" si="6"/>
        <v>0</v>
      </c>
      <c r="T28" s="128">
        <f t="shared" si="7"/>
        <v>9000.59</v>
      </c>
      <c r="U28" s="129">
        <f t="shared" si="8"/>
        <v>108007.08</v>
      </c>
      <c r="V28" s="130">
        <f t="shared" si="9"/>
        <v>0</v>
      </c>
      <c r="W28" s="118">
        <f>LEFT(A28,6)</f>
      </c>
    </row>
    <row r="29" spans="1:23" ht="44.25" customHeight="1">
      <c r="A29" s="124"/>
      <c r="B29" s="125" t="s">
        <v>51</v>
      </c>
      <c r="C29" s="126">
        <v>13</v>
      </c>
      <c r="D29" s="127">
        <v>4</v>
      </c>
      <c r="E29" s="128">
        <v>6667.1</v>
      </c>
      <c r="F29" s="126">
        <v>30</v>
      </c>
      <c r="G29" s="126">
        <f t="shared" si="1"/>
        <v>8000.52</v>
      </c>
      <c r="H29" s="128">
        <f t="shared" si="12"/>
        <v>2000.13</v>
      </c>
      <c r="I29" s="126">
        <v>25</v>
      </c>
      <c r="J29" s="126">
        <f t="shared" si="2"/>
        <v>6667.12</v>
      </c>
      <c r="K29" s="128">
        <f t="shared" si="13"/>
        <v>1666.78</v>
      </c>
      <c r="L29" s="126"/>
      <c r="M29" s="126">
        <f t="shared" si="10"/>
        <v>0</v>
      </c>
      <c r="N29" s="128"/>
      <c r="O29" s="126"/>
      <c r="P29" s="126">
        <f t="shared" si="4"/>
        <v>0</v>
      </c>
      <c r="Q29" s="128"/>
      <c r="R29" s="128">
        <f t="shared" si="11"/>
        <v>0</v>
      </c>
      <c r="S29" s="128">
        <f t="shared" si="6"/>
        <v>0</v>
      </c>
      <c r="T29" s="128">
        <f t="shared" si="7"/>
        <v>41336.04</v>
      </c>
      <c r="U29" s="129">
        <f t="shared" si="8"/>
        <v>496032.48</v>
      </c>
      <c r="V29" s="130">
        <f t="shared" si="9"/>
        <v>0</v>
      </c>
      <c r="W29" s="118">
        <f t="shared" si="0"/>
      </c>
    </row>
    <row r="30" spans="1:23" ht="47.25" customHeight="1">
      <c r="A30" s="124"/>
      <c r="B30" s="125" t="s">
        <v>51</v>
      </c>
      <c r="C30" s="126">
        <v>13</v>
      </c>
      <c r="D30" s="127">
        <v>4</v>
      </c>
      <c r="E30" s="128">
        <v>6667.1</v>
      </c>
      <c r="F30" s="126">
        <v>20</v>
      </c>
      <c r="G30" s="126">
        <f t="shared" si="1"/>
        <v>5333.68</v>
      </c>
      <c r="H30" s="128">
        <f t="shared" si="12"/>
        <v>1333.42</v>
      </c>
      <c r="I30" s="126">
        <v>25</v>
      </c>
      <c r="J30" s="126">
        <f t="shared" si="2"/>
        <v>6667.12</v>
      </c>
      <c r="K30" s="128">
        <f t="shared" si="13"/>
        <v>1666.78</v>
      </c>
      <c r="L30" s="126"/>
      <c r="M30" s="126">
        <f t="shared" si="10"/>
        <v>0</v>
      </c>
      <c r="N30" s="128"/>
      <c r="O30" s="126"/>
      <c r="P30" s="126">
        <f t="shared" si="4"/>
        <v>0</v>
      </c>
      <c r="Q30" s="128"/>
      <c r="R30" s="128">
        <f t="shared" si="11"/>
        <v>0</v>
      </c>
      <c r="S30" s="128">
        <f t="shared" si="6"/>
        <v>0</v>
      </c>
      <c r="T30" s="128">
        <f t="shared" si="7"/>
        <v>38669.2</v>
      </c>
      <c r="U30" s="129">
        <f t="shared" si="8"/>
        <v>464030.4</v>
      </c>
      <c r="V30" s="130">
        <f t="shared" si="9"/>
        <v>0</v>
      </c>
      <c r="W30" s="118">
        <f t="shared" si="0"/>
      </c>
    </row>
    <row r="31" spans="1:23" ht="47.25" customHeight="1">
      <c r="A31" s="124">
        <v>10</v>
      </c>
      <c r="B31" s="125" t="s">
        <v>73</v>
      </c>
      <c r="C31" s="126">
        <v>13</v>
      </c>
      <c r="D31" s="127">
        <v>1</v>
      </c>
      <c r="E31" s="128">
        <v>6667.1</v>
      </c>
      <c r="F31" s="126">
        <v>10</v>
      </c>
      <c r="G31" s="126">
        <f t="shared" si="1"/>
        <v>666.71</v>
      </c>
      <c r="H31" s="128">
        <f t="shared" si="12"/>
        <v>666.71</v>
      </c>
      <c r="I31" s="126">
        <v>25</v>
      </c>
      <c r="J31" s="126">
        <f t="shared" si="2"/>
        <v>1666.78</v>
      </c>
      <c r="K31" s="128">
        <f t="shared" si="13"/>
        <v>1666.78</v>
      </c>
      <c r="L31" s="126"/>
      <c r="M31" s="126">
        <f t="shared" si="10"/>
        <v>0</v>
      </c>
      <c r="N31" s="128"/>
      <c r="O31" s="126"/>
      <c r="P31" s="126">
        <f t="shared" si="4"/>
        <v>0</v>
      </c>
      <c r="Q31" s="128"/>
      <c r="R31" s="128">
        <f t="shared" si="11"/>
        <v>0</v>
      </c>
      <c r="S31" s="128">
        <f t="shared" si="6"/>
        <v>0</v>
      </c>
      <c r="T31" s="128">
        <f t="shared" si="7"/>
        <v>9000.59</v>
      </c>
      <c r="U31" s="129">
        <f t="shared" si="8"/>
        <v>108007.08</v>
      </c>
      <c r="V31" s="130">
        <f t="shared" si="9"/>
        <v>0</v>
      </c>
      <c r="W31" s="118" t="str">
        <f t="shared" si="0"/>
        <v>10</v>
      </c>
    </row>
    <row r="32" spans="1:23" ht="47.25" customHeight="1">
      <c r="A32" s="124">
        <v>11</v>
      </c>
      <c r="B32" s="125" t="s">
        <v>74</v>
      </c>
      <c r="C32" s="126">
        <v>13</v>
      </c>
      <c r="D32" s="127">
        <v>1</v>
      </c>
      <c r="E32" s="128">
        <v>6667.1</v>
      </c>
      <c r="F32" s="126">
        <v>20</v>
      </c>
      <c r="G32" s="126">
        <f t="shared" si="1"/>
        <v>1333.42</v>
      </c>
      <c r="H32" s="128">
        <f t="shared" si="12"/>
        <v>1333.42</v>
      </c>
      <c r="I32" s="126">
        <v>25</v>
      </c>
      <c r="J32" s="126">
        <f t="shared" si="2"/>
        <v>1666.78</v>
      </c>
      <c r="K32" s="128">
        <f t="shared" si="13"/>
        <v>1666.78</v>
      </c>
      <c r="L32" s="126"/>
      <c r="M32" s="126">
        <f t="shared" si="10"/>
        <v>0</v>
      </c>
      <c r="N32" s="128"/>
      <c r="O32" s="126"/>
      <c r="P32" s="126">
        <f t="shared" si="4"/>
        <v>0</v>
      </c>
      <c r="Q32" s="128"/>
      <c r="R32" s="128">
        <f t="shared" si="11"/>
        <v>0</v>
      </c>
      <c r="S32" s="128">
        <f t="shared" si="6"/>
        <v>0</v>
      </c>
      <c r="T32" s="128">
        <f t="shared" si="7"/>
        <v>9667.3</v>
      </c>
      <c r="U32" s="129">
        <f t="shared" si="8"/>
        <v>116007.6</v>
      </c>
      <c r="V32" s="130">
        <f t="shared" si="9"/>
        <v>0</v>
      </c>
      <c r="W32" s="118" t="str">
        <f t="shared" si="0"/>
        <v>11</v>
      </c>
    </row>
    <row r="33" spans="1:23" ht="33.75" customHeight="1">
      <c r="A33" s="124">
        <v>12</v>
      </c>
      <c r="B33" s="125" t="s">
        <v>13</v>
      </c>
      <c r="C33" s="126">
        <v>14</v>
      </c>
      <c r="D33" s="127">
        <v>1</v>
      </c>
      <c r="E33" s="128">
        <v>7107.1</v>
      </c>
      <c r="F33" s="126">
        <v>20</v>
      </c>
      <c r="G33" s="126">
        <f t="shared" si="1"/>
        <v>1421.42</v>
      </c>
      <c r="H33" s="128">
        <f t="shared" si="12"/>
        <v>1421.42</v>
      </c>
      <c r="I33" s="126">
        <v>25</v>
      </c>
      <c r="J33" s="126">
        <f t="shared" si="2"/>
        <v>1776.78</v>
      </c>
      <c r="K33" s="128">
        <f t="shared" si="13"/>
        <v>1776.78</v>
      </c>
      <c r="L33" s="126"/>
      <c r="M33" s="126">
        <f t="shared" si="10"/>
        <v>0</v>
      </c>
      <c r="N33" s="128"/>
      <c r="O33" s="126"/>
      <c r="P33" s="126">
        <f t="shared" si="4"/>
        <v>0</v>
      </c>
      <c r="Q33" s="128"/>
      <c r="R33" s="128">
        <f t="shared" si="11"/>
        <v>0</v>
      </c>
      <c r="S33" s="128">
        <f t="shared" si="6"/>
        <v>0</v>
      </c>
      <c r="T33" s="128">
        <f t="shared" si="7"/>
        <v>10305.3</v>
      </c>
      <c r="U33" s="129">
        <f t="shared" si="8"/>
        <v>123663.6</v>
      </c>
      <c r="V33" s="130">
        <f t="shared" si="9"/>
        <v>0</v>
      </c>
      <c r="W33" s="118" t="str">
        <f t="shared" si="0"/>
        <v>12</v>
      </c>
    </row>
    <row r="34" spans="1:23" ht="30.75" customHeight="1">
      <c r="A34" s="124"/>
      <c r="B34" s="125" t="s">
        <v>13</v>
      </c>
      <c r="C34" s="126">
        <v>13</v>
      </c>
      <c r="D34" s="133">
        <v>0.5</v>
      </c>
      <c r="E34" s="128">
        <v>6667.1</v>
      </c>
      <c r="F34" s="126">
        <v>20</v>
      </c>
      <c r="G34" s="126">
        <f t="shared" si="1"/>
        <v>666.71</v>
      </c>
      <c r="H34" s="128">
        <f t="shared" si="12"/>
        <v>1333.42</v>
      </c>
      <c r="I34" s="126">
        <v>25</v>
      </c>
      <c r="J34" s="126">
        <f t="shared" si="2"/>
        <v>833.39</v>
      </c>
      <c r="K34" s="128">
        <f t="shared" si="13"/>
        <v>1666.78</v>
      </c>
      <c r="L34" s="126"/>
      <c r="M34" s="126">
        <f t="shared" si="10"/>
        <v>0</v>
      </c>
      <c r="N34" s="128"/>
      <c r="O34" s="126"/>
      <c r="P34" s="126">
        <f t="shared" si="4"/>
        <v>0</v>
      </c>
      <c r="Q34" s="128"/>
      <c r="R34" s="128">
        <f t="shared" si="11"/>
        <v>0</v>
      </c>
      <c r="S34" s="128">
        <f t="shared" si="6"/>
        <v>0</v>
      </c>
      <c r="T34" s="128">
        <f t="shared" si="7"/>
        <v>4833.65</v>
      </c>
      <c r="U34" s="129">
        <f t="shared" si="8"/>
        <v>58003.8</v>
      </c>
      <c r="V34" s="130">
        <f t="shared" si="9"/>
        <v>0</v>
      </c>
      <c r="W34" s="118">
        <f t="shared" si="0"/>
      </c>
    </row>
    <row r="35" spans="1:23" ht="31.5" customHeight="1">
      <c r="A35" s="124">
        <v>13</v>
      </c>
      <c r="B35" s="125" t="s">
        <v>52</v>
      </c>
      <c r="C35" s="126">
        <v>13</v>
      </c>
      <c r="D35" s="133">
        <v>0.5</v>
      </c>
      <c r="E35" s="128">
        <v>6667.1</v>
      </c>
      <c r="F35" s="126">
        <v>20</v>
      </c>
      <c r="G35" s="126">
        <f t="shared" si="1"/>
        <v>666.71</v>
      </c>
      <c r="H35" s="128">
        <f t="shared" si="12"/>
        <v>1333.42</v>
      </c>
      <c r="I35" s="126">
        <v>25</v>
      </c>
      <c r="J35" s="126">
        <f t="shared" si="2"/>
        <v>833.39</v>
      </c>
      <c r="K35" s="128">
        <f t="shared" si="13"/>
        <v>1666.78</v>
      </c>
      <c r="L35" s="126"/>
      <c r="M35" s="126">
        <f t="shared" si="10"/>
        <v>0</v>
      </c>
      <c r="N35" s="128"/>
      <c r="O35" s="126"/>
      <c r="P35" s="126">
        <f t="shared" si="4"/>
        <v>0</v>
      </c>
      <c r="Q35" s="128"/>
      <c r="R35" s="128">
        <f t="shared" si="11"/>
        <v>0</v>
      </c>
      <c r="S35" s="128">
        <f t="shared" si="6"/>
        <v>0</v>
      </c>
      <c r="T35" s="128">
        <f t="shared" si="7"/>
        <v>4833.65</v>
      </c>
      <c r="U35" s="129">
        <f t="shared" si="8"/>
        <v>58003.8</v>
      </c>
      <c r="V35" s="130">
        <f t="shared" si="9"/>
        <v>0</v>
      </c>
      <c r="W35" s="118" t="str">
        <f t="shared" si="0"/>
        <v>13</v>
      </c>
    </row>
    <row r="36" spans="1:23" ht="31.5" customHeight="1">
      <c r="A36" s="124"/>
      <c r="B36" s="125" t="s">
        <v>52</v>
      </c>
      <c r="C36" s="126">
        <v>14</v>
      </c>
      <c r="D36" s="133">
        <v>1.5</v>
      </c>
      <c r="E36" s="128">
        <v>7107.1</v>
      </c>
      <c r="F36" s="126">
        <v>20</v>
      </c>
      <c r="G36" s="126">
        <f t="shared" si="1"/>
        <v>2132.13</v>
      </c>
      <c r="H36" s="128">
        <f t="shared" si="12"/>
        <v>1421.42</v>
      </c>
      <c r="I36" s="126">
        <v>25</v>
      </c>
      <c r="J36" s="126">
        <f t="shared" si="2"/>
        <v>2665.17</v>
      </c>
      <c r="K36" s="128">
        <f t="shared" si="13"/>
        <v>1776.78</v>
      </c>
      <c r="L36" s="126"/>
      <c r="M36" s="126">
        <f t="shared" si="10"/>
        <v>0</v>
      </c>
      <c r="N36" s="128"/>
      <c r="O36" s="126"/>
      <c r="P36" s="126">
        <f t="shared" si="4"/>
        <v>0</v>
      </c>
      <c r="Q36" s="128"/>
      <c r="R36" s="128">
        <f t="shared" si="11"/>
        <v>0</v>
      </c>
      <c r="S36" s="128">
        <f t="shared" si="6"/>
        <v>0</v>
      </c>
      <c r="T36" s="128">
        <f t="shared" si="7"/>
        <v>15457.95</v>
      </c>
      <c r="U36" s="129">
        <f t="shared" si="8"/>
        <v>185495.4</v>
      </c>
      <c r="V36" s="130">
        <f t="shared" si="9"/>
        <v>0</v>
      </c>
      <c r="W36" s="118">
        <f t="shared" si="0"/>
      </c>
    </row>
    <row r="37" spans="1:23" ht="25.5" customHeight="1">
      <c r="A37" s="124">
        <v>14</v>
      </c>
      <c r="B37" s="125" t="s">
        <v>47</v>
      </c>
      <c r="C37" s="126">
        <v>13</v>
      </c>
      <c r="D37" s="127">
        <v>1</v>
      </c>
      <c r="E37" s="128">
        <v>6667.1</v>
      </c>
      <c r="F37" s="126">
        <v>20</v>
      </c>
      <c r="G37" s="126">
        <f t="shared" si="1"/>
        <v>1333.42</v>
      </c>
      <c r="H37" s="128">
        <f t="shared" si="12"/>
        <v>1333.42</v>
      </c>
      <c r="I37" s="126">
        <v>25</v>
      </c>
      <c r="J37" s="126">
        <f t="shared" si="2"/>
        <v>1666.78</v>
      </c>
      <c r="K37" s="128">
        <f t="shared" si="13"/>
        <v>1666.78</v>
      </c>
      <c r="L37" s="126"/>
      <c r="M37" s="126">
        <f t="shared" si="10"/>
        <v>0</v>
      </c>
      <c r="N37" s="128">
        <f>ROUND(E37*L37/100*D37,2)</f>
        <v>0</v>
      </c>
      <c r="O37" s="126">
        <v>0</v>
      </c>
      <c r="P37" s="126">
        <f t="shared" si="4"/>
        <v>0</v>
      </c>
      <c r="Q37" s="128">
        <f>E37*O37/100</f>
        <v>0</v>
      </c>
      <c r="R37" s="128">
        <f t="shared" si="11"/>
        <v>0</v>
      </c>
      <c r="S37" s="128">
        <f t="shared" si="6"/>
        <v>0</v>
      </c>
      <c r="T37" s="128">
        <f t="shared" si="7"/>
        <v>9667.3</v>
      </c>
      <c r="U37" s="129">
        <f t="shared" si="8"/>
        <v>116007.6</v>
      </c>
      <c r="V37" s="130">
        <f t="shared" si="9"/>
        <v>0</v>
      </c>
      <c r="W37" s="118" t="str">
        <f t="shared" si="0"/>
        <v>14</v>
      </c>
    </row>
    <row r="38" spans="1:23" ht="36" customHeight="1">
      <c r="A38" s="124">
        <v>15</v>
      </c>
      <c r="B38" s="125" t="s">
        <v>49</v>
      </c>
      <c r="C38" s="126">
        <v>12</v>
      </c>
      <c r="D38" s="127">
        <v>1</v>
      </c>
      <c r="E38" s="128">
        <v>6226</v>
      </c>
      <c r="F38" s="126">
        <v>20</v>
      </c>
      <c r="G38" s="126">
        <f t="shared" si="1"/>
        <v>1245.2</v>
      </c>
      <c r="H38" s="128">
        <f t="shared" si="12"/>
        <v>1245.2</v>
      </c>
      <c r="I38" s="126">
        <v>25</v>
      </c>
      <c r="J38" s="126">
        <f t="shared" si="2"/>
        <v>1556.5</v>
      </c>
      <c r="K38" s="128">
        <f t="shared" si="13"/>
        <v>1556.5</v>
      </c>
      <c r="L38" s="126"/>
      <c r="M38" s="126">
        <f t="shared" si="10"/>
        <v>0</v>
      </c>
      <c r="N38" s="128"/>
      <c r="O38" s="126"/>
      <c r="P38" s="126">
        <f t="shared" si="4"/>
        <v>0</v>
      </c>
      <c r="Q38" s="128"/>
      <c r="R38" s="128">
        <f t="shared" si="11"/>
        <v>0</v>
      </c>
      <c r="S38" s="128">
        <f t="shared" si="6"/>
        <v>0</v>
      </c>
      <c r="T38" s="128">
        <f t="shared" si="7"/>
        <v>9027.7</v>
      </c>
      <c r="U38" s="129">
        <f t="shared" si="8"/>
        <v>108332.4</v>
      </c>
      <c r="V38" s="130">
        <f t="shared" si="9"/>
        <v>0</v>
      </c>
      <c r="W38" s="118" t="str">
        <f t="shared" si="0"/>
        <v>15</v>
      </c>
    </row>
    <row r="39" spans="1:23" ht="38.25" customHeight="1" thickBot="1">
      <c r="A39" s="134">
        <v>16</v>
      </c>
      <c r="B39" s="135" t="s">
        <v>136</v>
      </c>
      <c r="C39" s="136">
        <v>12</v>
      </c>
      <c r="D39" s="137">
        <v>1</v>
      </c>
      <c r="E39" s="132">
        <v>6226</v>
      </c>
      <c r="F39" s="136">
        <v>10</v>
      </c>
      <c r="G39" s="136">
        <f t="shared" si="1"/>
        <v>622.6</v>
      </c>
      <c r="H39" s="132">
        <f t="shared" si="12"/>
        <v>622.6</v>
      </c>
      <c r="I39" s="136">
        <v>25</v>
      </c>
      <c r="J39" s="136">
        <f t="shared" si="2"/>
        <v>1556.5</v>
      </c>
      <c r="K39" s="132">
        <f>ROUND(E39*I39/100*D39,2)</f>
        <v>1556.5</v>
      </c>
      <c r="L39" s="136"/>
      <c r="M39" s="136">
        <f t="shared" si="10"/>
        <v>0</v>
      </c>
      <c r="N39" s="132">
        <f>ROUND(E39*L39/100,2)</f>
        <v>0</v>
      </c>
      <c r="O39" s="136">
        <v>0</v>
      </c>
      <c r="P39" s="136">
        <f t="shared" si="4"/>
        <v>0</v>
      </c>
      <c r="Q39" s="132">
        <f>E39*O39/100</f>
        <v>0</v>
      </c>
      <c r="R39" s="128">
        <f t="shared" si="11"/>
        <v>0</v>
      </c>
      <c r="S39" s="128">
        <f t="shared" si="6"/>
        <v>0</v>
      </c>
      <c r="T39" s="132">
        <f t="shared" si="7"/>
        <v>8405.1</v>
      </c>
      <c r="U39" s="138">
        <f t="shared" si="8"/>
        <v>100861.2</v>
      </c>
      <c r="V39" s="130">
        <f t="shared" si="9"/>
        <v>0</v>
      </c>
      <c r="W39" s="118" t="str">
        <f t="shared" si="0"/>
        <v>16</v>
      </c>
    </row>
    <row r="40" spans="1:23" ht="33.75" customHeight="1" thickBot="1">
      <c r="A40" s="303" t="s">
        <v>14</v>
      </c>
      <c r="B40" s="304"/>
      <c r="C40" s="139" t="s">
        <v>15</v>
      </c>
      <c r="D40" s="140">
        <f>SUM(D15:D39)</f>
        <v>30.25</v>
      </c>
      <c r="E40" s="141">
        <f>T40-H40-N40-K40-Q40-S40</f>
        <v>210570.01000000004</v>
      </c>
      <c r="F40" s="139" t="s">
        <v>15</v>
      </c>
      <c r="G40" s="139"/>
      <c r="H40" s="141">
        <f>ROUND(SUM(G15:G39),2)</f>
        <v>46578.64</v>
      </c>
      <c r="I40" s="139" t="s">
        <v>15</v>
      </c>
      <c r="J40" s="139"/>
      <c r="K40" s="141">
        <f>ROUND(SUM(J15:J39),2)</f>
        <v>52642.62</v>
      </c>
      <c r="L40" s="139" t="s">
        <v>15</v>
      </c>
      <c r="M40" s="139"/>
      <c r="N40" s="141">
        <f>ROUND(SUM(M15:M39),2)</f>
        <v>4985.1</v>
      </c>
      <c r="O40" s="139" t="s">
        <v>15</v>
      </c>
      <c r="P40" s="139"/>
      <c r="Q40" s="141">
        <f>ROUND(SUM(P15:P39),2)</f>
        <v>17182.78</v>
      </c>
      <c r="R40" s="141"/>
      <c r="S40" s="141">
        <f>ROUND(SUM(R15:R39),2)</f>
        <v>0</v>
      </c>
      <c r="T40" s="141">
        <f>SUM(T15:T39)</f>
        <v>331959.15</v>
      </c>
      <c r="U40" s="142">
        <f>SUM(U15:U39)</f>
        <v>3983509.8</v>
      </c>
      <c r="V40" s="130"/>
      <c r="W40" s="118" t="str">
        <f t="shared" si="0"/>
        <v>Всього</v>
      </c>
    </row>
    <row r="41" spans="1:23" ht="30.75" customHeight="1">
      <c r="A41" s="269" t="s">
        <v>75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1"/>
      <c r="V41" s="130">
        <f>IF(D41&gt;0,IF((U41/D41-Q41)&gt;$W$1,0,($W$1-(U41/D41-Q41))*D41),0)</f>
        <v>0</v>
      </c>
      <c r="W41" s="118" t="str">
        <f t="shared" si="0"/>
        <v>1.2. М</v>
      </c>
    </row>
    <row r="42" spans="1:23" ht="42.75" customHeight="1">
      <c r="A42" s="124">
        <v>1</v>
      </c>
      <c r="B42" s="125" t="s">
        <v>16</v>
      </c>
      <c r="C42" s="126">
        <v>13</v>
      </c>
      <c r="D42" s="127">
        <v>3</v>
      </c>
      <c r="E42" s="128">
        <v>6667.1</v>
      </c>
      <c r="F42" s="126">
        <v>20</v>
      </c>
      <c r="G42" s="126">
        <f>H42*$D42</f>
        <v>4000.26</v>
      </c>
      <c r="H42" s="128">
        <f>E42*F42/100</f>
        <v>1333.42</v>
      </c>
      <c r="I42" s="126">
        <v>25</v>
      </c>
      <c r="J42" s="126">
        <f>K42*$D42</f>
        <v>5000.34</v>
      </c>
      <c r="K42" s="128">
        <f>ROUND(E42*I42/100,2)</f>
        <v>1666.78</v>
      </c>
      <c r="L42" s="126"/>
      <c r="M42" s="126">
        <f>N42*D42</f>
        <v>0</v>
      </c>
      <c r="N42" s="128">
        <f>ROUND(E42*L42/100*D42,2)</f>
        <v>0</v>
      </c>
      <c r="O42" s="126">
        <v>0</v>
      </c>
      <c r="P42" s="126">
        <f>Q42*D42</f>
        <v>0</v>
      </c>
      <c r="Q42" s="128">
        <f>E42*O42/100</f>
        <v>0</v>
      </c>
      <c r="R42" s="128">
        <f>S42*D42</f>
        <v>0</v>
      </c>
      <c r="S42" s="128">
        <f>MAX($W$1-ROUND(ROUND((E42+H42+N42+K42+Q42)*D42,2)/D42,2),0)</f>
        <v>0</v>
      </c>
      <c r="T42" s="128">
        <f>ROUND((E42+H42+N42+K42+Q42)*D42,2)</f>
        <v>29001.9</v>
      </c>
      <c r="U42" s="129">
        <f>ROUND(SUM(T42*$W$7),2)</f>
        <v>348022.8</v>
      </c>
      <c r="V42" s="130">
        <f>IF(D42&gt;0,IF((U42/D42-Q42)&gt;$W$1,0,($W$1-(U42/D42-Q42))*D42),0)</f>
        <v>0</v>
      </c>
      <c r="W42" s="118" t="str">
        <f t="shared" si="0"/>
        <v>1</v>
      </c>
    </row>
    <row r="43" spans="1:23" ht="45" customHeight="1" thickBot="1">
      <c r="A43" s="134">
        <v>2</v>
      </c>
      <c r="B43" s="135" t="s">
        <v>16</v>
      </c>
      <c r="C43" s="136">
        <v>14</v>
      </c>
      <c r="D43" s="137">
        <v>2</v>
      </c>
      <c r="E43" s="132">
        <v>7107.1</v>
      </c>
      <c r="F43" s="136">
        <v>30</v>
      </c>
      <c r="G43" s="136">
        <f>H43*$D43</f>
        <v>4264.26</v>
      </c>
      <c r="H43" s="132">
        <f>E43*F43/100</f>
        <v>2132.13</v>
      </c>
      <c r="I43" s="136">
        <v>25</v>
      </c>
      <c r="J43" s="136">
        <f>K43*$D43</f>
        <v>3553.56</v>
      </c>
      <c r="K43" s="132">
        <f>ROUND(E43*I43/100,2)</f>
        <v>1776.78</v>
      </c>
      <c r="L43" s="136"/>
      <c r="M43" s="136">
        <f>N43*D43</f>
        <v>0</v>
      </c>
      <c r="N43" s="132">
        <f>ROUND(E43*L43/100*D43,2)</f>
        <v>0</v>
      </c>
      <c r="O43" s="136">
        <v>0</v>
      </c>
      <c r="P43" s="136">
        <f>Q43*D43</f>
        <v>0</v>
      </c>
      <c r="Q43" s="132">
        <f>E43*O43/100</f>
        <v>0</v>
      </c>
      <c r="R43" s="128">
        <f>S43*D43</f>
        <v>0</v>
      </c>
      <c r="S43" s="128">
        <f>MAX($W$1-ROUND(ROUND((E43+H43+N43+K43+Q43)*D43,2)/D43,2),0)</f>
        <v>0</v>
      </c>
      <c r="T43" s="132">
        <f>ROUND((E43+H43+N43+K43+Q43)*D43,2)</f>
        <v>22032.02</v>
      </c>
      <c r="U43" s="138">
        <f>ROUND(SUM(T43*$W$7),2)</f>
        <v>264384.24</v>
      </c>
      <c r="V43" s="130">
        <f>IF(D43&gt;0,IF((U43/D43-Q43)&gt;$W$1,0,($W$1-(U43/D43-Q43))*D43),0)</f>
        <v>0</v>
      </c>
      <c r="W43" s="118" t="str">
        <f t="shared" si="0"/>
        <v>2</v>
      </c>
    </row>
    <row r="44" spans="1:23" ht="27" customHeight="1" thickBot="1">
      <c r="A44" s="303" t="s">
        <v>17</v>
      </c>
      <c r="B44" s="304"/>
      <c r="C44" s="139" t="s">
        <v>15</v>
      </c>
      <c r="D44" s="143">
        <f>SUM(D42:D43)</f>
        <v>5</v>
      </c>
      <c r="E44" s="141">
        <f>T44-H44-N44-K44-Q44-S44</f>
        <v>34215.49999999999</v>
      </c>
      <c r="F44" s="139" t="s">
        <v>15</v>
      </c>
      <c r="G44" s="139"/>
      <c r="H44" s="141">
        <f>ROUND(SUM(G42:G43),2)</f>
        <v>8264.52</v>
      </c>
      <c r="I44" s="139" t="s">
        <v>15</v>
      </c>
      <c r="J44" s="139"/>
      <c r="K44" s="141">
        <f>ROUND(SUM(J42:J43),2)</f>
        <v>8553.9</v>
      </c>
      <c r="L44" s="139" t="s">
        <v>15</v>
      </c>
      <c r="M44" s="139"/>
      <c r="N44" s="141">
        <f>ROUND(SUM(M42:M43),2)</f>
        <v>0</v>
      </c>
      <c r="O44" s="139" t="s">
        <v>15</v>
      </c>
      <c r="P44" s="139"/>
      <c r="Q44" s="141">
        <f>ROUND(SUM(P42:P43),2)</f>
        <v>0</v>
      </c>
      <c r="R44" s="141"/>
      <c r="S44" s="141">
        <f>ROUND(SUM(R42:R43),2)</f>
        <v>0</v>
      </c>
      <c r="T44" s="141">
        <f>SUM(T42:T43)</f>
        <v>51033.92</v>
      </c>
      <c r="U44" s="142">
        <f>SUM(U42:U43)</f>
        <v>612407.04</v>
      </c>
      <c r="V44" s="130">
        <f>IF(D44&gt;0,IF((U44/D44-Q44)&gt;$W$1,0,($W$1-(U44/D44-Q44))*D44),0)</f>
        <v>0</v>
      </c>
      <c r="W44" s="118" t="str">
        <f>LEFT(A44,6)</f>
        <v>Всього</v>
      </c>
    </row>
    <row r="45" spans="1:23" ht="32.25" customHeight="1">
      <c r="A45" s="269" t="s">
        <v>76</v>
      </c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1"/>
      <c r="V45" s="130">
        <f>IF(D45&gt;0,IF((U45/D45-Q45)&gt;$W$1,0,($W$1-(U45/D45-Q45))*D45),0)</f>
        <v>0</v>
      </c>
      <c r="W45" s="118" t="str">
        <f t="shared" si="0"/>
        <v>1.3.Фа</v>
      </c>
    </row>
    <row r="46" spans="1:23" ht="57.75" customHeight="1">
      <c r="A46" s="124">
        <v>1</v>
      </c>
      <c r="B46" s="125" t="s">
        <v>77</v>
      </c>
      <c r="C46" s="131">
        <v>0.9</v>
      </c>
      <c r="D46" s="127">
        <v>1</v>
      </c>
      <c r="E46" s="133">
        <v>7713.9</v>
      </c>
      <c r="F46" s="126"/>
      <c r="G46" s="126">
        <f aca="true" t="shared" si="14" ref="G46:G71">H46*$D46</f>
        <v>0</v>
      </c>
      <c r="H46" s="128">
        <f aca="true" t="shared" si="15" ref="H46:H58">E46*F46/100</f>
        <v>0</v>
      </c>
      <c r="I46" s="126"/>
      <c r="J46" s="126">
        <f aca="true" t="shared" si="16" ref="J46:J71">K46*$D46</f>
        <v>0</v>
      </c>
      <c r="K46" s="128">
        <f aca="true" t="shared" si="17" ref="K46:K71">ROUND(E46*I46/100,2)</f>
        <v>0</v>
      </c>
      <c r="L46" s="126">
        <v>15</v>
      </c>
      <c r="M46" s="126">
        <f>N46*D46</f>
        <v>1157.09</v>
      </c>
      <c r="N46" s="133">
        <f>ROUND(E46*L46/100*D46,2)</f>
        <v>1157.09</v>
      </c>
      <c r="O46" s="126">
        <v>10</v>
      </c>
      <c r="P46" s="126">
        <f aca="true" t="shared" si="18" ref="P46:P71">Q46*D46</f>
        <v>771.39</v>
      </c>
      <c r="Q46" s="128">
        <f aca="true" t="shared" si="19" ref="Q46:Q60">E46*O46/100</f>
        <v>771.39</v>
      </c>
      <c r="R46" s="128">
        <f aca="true" t="shared" si="20" ref="R46:R71">S46*D46</f>
        <v>0</v>
      </c>
      <c r="S46" s="128">
        <f aca="true" t="shared" si="21" ref="S46:S71">MAX($W$1-ROUND(ROUND((E46+H46+N46+K46+Q46)*D46,2)/D46,2),0)</f>
        <v>0</v>
      </c>
      <c r="T46" s="128">
        <f aca="true" t="shared" si="22" ref="T46:T71">ROUND((E46+H46+N46+K46+Q46+S46)*D46,2)</f>
        <v>9642.38</v>
      </c>
      <c r="U46" s="129">
        <f aca="true" t="shared" si="23" ref="U46:U73">ROUND(SUM(T46*$W$7),2)</f>
        <v>115708.56</v>
      </c>
      <c r="V46" s="130">
        <f>D46*E46-(T46-S46-Q46-N46-K46-H46)</f>
        <v>0</v>
      </c>
      <c r="W46" s="118" t="str">
        <f t="shared" si="0"/>
        <v>1</v>
      </c>
    </row>
    <row r="47" spans="1:23" ht="28.5" customHeight="1">
      <c r="A47" s="124">
        <v>2</v>
      </c>
      <c r="B47" s="125" t="s">
        <v>18</v>
      </c>
      <c r="C47" s="126">
        <v>0.9</v>
      </c>
      <c r="D47" s="127">
        <v>1</v>
      </c>
      <c r="E47" s="133">
        <v>7713.9</v>
      </c>
      <c r="F47" s="126"/>
      <c r="G47" s="126">
        <f t="shared" si="14"/>
        <v>0</v>
      </c>
      <c r="H47" s="128">
        <f t="shared" si="15"/>
        <v>0</v>
      </c>
      <c r="I47" s="126"/>
      <c r="J47" s="126">
        <f t="shared" si="16"/>
        <v>0</v>
      </c>
      <c r="K47" s="128">
        <f t="shared" si="17"/>
        <v>0</v>
      </c>
      <c r="L47" s="126">
        <v>15</v>
      </c>
      <c r="M47" s="126">
        <f aca="true" t="shared" si="24" ref="M47:M71">N47*D47</f>
        <v>1157.09</v>
      </c>
      <c r="N47" s="133">
        <f>ROUND(E47*L47/100*D47,2)</f>
        <v>1157.09</v>
      </c>
      <c r="O47" s="126"/>
      <c r="P47" s="126">
        <f t="shared" si="18"/>
        <v>0</v>
      </c>
      <c r="Q47" s="128">
        <f t="shared" si="19"/>
        <v>0</v>
      </c>
      <c r="R47" s="128">
        <f t="shared" si="20"/>
        <v>0</v>
      </c>
      <c r="S47" s="128">
        <f t="shared" si="21"/>
        <v>0</v>
      </c>
      <c r="T47" s="128">
        <f t="shared" si="22"/>
        <v>8870.99</v>
      </c>
      <c r="U47" s="129">
        <f t="shared" si="23"/>
        <v>106451.88</v>
      </c>
      <c r="V47" s="130">
        <f aca="true" t="shared" si="25" ref="V47:V59">D47*E47-(T47-S47-Q47-N47-K47-H47)</f>
        <v>0</v>
      </c>
      <c r="W47" s="118" t="str">
        <f t="shared" si="0"/>
        <v>2</v>
      </c>
    </row>
    <row r="48" spans="1:23" ht="32.25" customHeight="1">
      <c r="A48" s="124">
        <v>3</v>
      </c>
      <c r="B48" s="125" t="s">
        <v>78</v>
      </c>
      <c r="C48" s="126">
        <v>12</v>
      </c>
      <c r="D48" s="127">
        <v>1</v>
      </c>
      <c r="E48" s="127">
        <v>5660</v>
      </c>
      <c r="F48" s="126">
        <v>30</v>
      </c>
      <c r="G48" s="126">
        <f t="shared" si="14"/>
        <v>1698</v>
      </c>
      <c r="H48" s="128">
        <f t="shared" si="15"/>
        <v>1698</v>
      </c>
      <c r="I48" s="126">
        <v>0</v>
      </c>
      <c r="J48" s="126">
        <f t="shared" si="16"/>
        <v>0</v>
      </c>
      <c r="K48" s="128">
        <f t="shared" si="17"/>
        <v>0</v>
      </c>
      <c r="L48" s="126"/>
      <c r="M48" s="126">
        <f t="shared" si="24"/>
        <v>0</v>
      </c>
      <c r="N48" s="133">
        <f aca="true" t="shared" si="26" ref="N48:N61">ROUND(E48*L48/100*D48,2)</f>
        <v>0</v>
      </c>
      <c r="O48" s="126">
        <v>50</v>
      </c>
      <c r="P48" s="126">
        <f t="shared" si="18"/>
        <v>2830</v>
      </c>
      <c r="Q48" s="128">
        <f t="shared" si="19"/>
        <v>2830</v>
      </c>
      <c r="R48" s="128">
        <f t="shared" si="20"/>
        <v>0</v>
      </c>
      <c r="S48" s="128">
        <f t="shared" si="21"/>
        <v>0</v>
      </c>
      <c r="T48" s="128">
        <f t="shared" si="22"/>
        <v>10188</v>
      </c>
      <c r="U48" s="129">
        <f t="shared" si="23"/>
        <v>122256</v>
      </c>
      <c r="V48" s="130">
        <f t="shared" si="25"/>
        <v>0</v>
      </c>
      <c r="W48" s="118" t="str">
        <f t="shared" si="0"/>
        <v>3</v>
      </c>
    </row>
    <row r="49" spans="1:23" ht="42" customHeight="1">
      <c r="A49" s="124">
        <v>4</v>
      </c>
      <c r="B49" s="125" t="s">
        <v>79</v>
      </c>
      <c r="C49" s="126">
        <v>10</v>
      </c>
      <c r="D49" s="127">
        <v>1</v>
      </c>
      <c r="E49" s="127">
        <v>4859</v>
      </c>
      <c r="F49" s="126"/>
      <c r="G49" s="126">
        <f t="shared" si="14"/>
        <v>0</v>
      </c>
      <c r="H49" s="128">
        <f t="shared" si="15"/>
        <v>0</v>
      </c>
      <c r="I49" s="126"/>
      <c r="J49" s="126">
        <f t="shared" si="16"/>
        <v>0</v>
      </c>
      <c r="K49" s="128">
        <f t="shared" si="17"/>
        <v>0</v>
      </c>
      <c r="L49" s="126"/>
      <c r="M49" s="126">
        <f t="shared" si="24"/>
        <v>0</v>
      </c>
      <c r="N49" s="133">
        <f t="shared" si="26"/>
        <v>0</v>
      </c>
      <c r="O49" s="126"/>
      <c r="P49" s="126">
        <f t="shared" si="18"/>
        <v>0</v>
      </c>
      <c r="Q49" s="128">
        <f t="shared" si="19"/>
        <v>0</v>
      </c>
      <c r="R49" s="128">
        <f t="shared" si="20"/>
        <v>1141</v>
      </c>
      <c r="S49" s="128">
        <f t="shared" si="21"/>
        <v>1141</v>
      </c>
      <c r="T49" s="128">
        <f t="shared" si="22"/>
        <v>6000</v>
      </c>
      <c r="U49" s="129">
        <f t="shared" si="23"/>
        <v>72000</v>
      </c>
      <c r="V49" s="130">
        <f t="shared" si="25"/>
        <v>0</v>
      </c>
      <c r="W49" s="118" t="str">
        <f t="shared" si="0"/>
        <v>4</v>
      </c>
    </row>
    <row r="50" spans="1:23" ht="42.75" customHeight="1">
      <c r="A50" s="124">
        <v>5</v>
      </c>
      <c r="B50" s="125" t="s">
        <v>66</v>
      </c>
      <c r="C50" s="126">
        <v>8</v>
      </c>
      <c r="D50" s="127">
        <v>1</v>
      </c>
      <c r="E50" s="127">
        <v>4379</v>
      </c>
      <c r="F50" s="126"/>
      <c r="G50" s="126">
        <f t="shared" si="14"/>
        <v>0</v>
      </c>
      <c r="H50" s="128">
        <f t="shared" si="15"/>
        <v>0</v>
      </c>
      <c r="I50" s="126"/>
      <c r="J50" s="126">
        <f t="shared" si="16"/>
        <v>0</v>
      </c>
      <c r="K50" s="128">
        <f t="shared" si="17"/>
        <v>0</v>
      </c>
      <c r="L50" s="126"/>
      <c r="M50" s="126">
        <f t="shared" si="24"/>
        <v>0</v>
      </c>
      <c r="N50" s="133">
        <f t="shared" si="26"/>
        <v>0</v>
      </c>
      <c r="O50" s="126"/>
      <c r="P50" s="126">
        <f t="shared" si="18"/>
        <v>0</v>
      </c>
      <c r="Q50" s="128">
        <f t="shared" si="19"/>
        <v>0</v>
      </c>
      <c r="R50" s="128">
        <f t="shared" si="20"/>
        <v>1621</v>
      </c>
      <c r="S50" s="128">
        <f t="shared" si="21"/>
        <v>1621</v>
      </c>
      <c r="T50" s="128">
        <f t="shared" si="22"/>
        <v>6000</v>
      </c>
      <c r="U50" s="129">
        <f t="shared" si="23"/>
        <v>72000</v>
      </c>
      <c r="V50" s="130">
        <f t="shared" si="25"/>
        <v>0</v>
      </c>
      <c r="W50" s="118" t="str">
        <f t="shared" si="0"/>
        <v>5</v>
      </c>
    </row>
    <row r="51" spans="1:23" ht="33" customHeight="1">
      <c r="A51" s="124">
        <v>6</v>
      </c>
      <c r="B51" s="125" t="s">
        <v>53</v>
      </c>
      <c r="C51" s="126">
        <v>10</v>
      </c>
      <c r="D51" s="127">
        <v>1</v>
      </c>
      <c r="E51" s="127">
        <v>4859</v>
      </c>
      <c r="F51" s="126"/>
      <c r="G51" s="126">
        <f t="shared" si="14"/>
        <v>0</v>
      </c>
      <c r="H51" s="128">
        <f t="shared" si="15"/>
        <v>0</v>
      </c>
      <c r="I51" s="126"/>
      <c r="J51" s="126">
        <f t="shared" si="16"/>
        <v>0</v>
      </c>
      <c r="K51" s="128">
        <f t="shared" si="17"/>
        <v>0</v>
      </c>
      <c r="L51" s="126"/>
      <c r="M51" s="126">
        <f t="shared" si="24"/>
        <v>0</v>
      </c>
      <c r="N51" s="133">
        <f t="shared" si="26"/>
        <v>0</v>
      </c>
      <c r="O51" s="126"/>
      <c r="P51" s="126">
        <f t="shared" si="18"/>
        <v>0</v>
      </c>
      <c r="Q51" s="128">
        <f t="shared" si="19"/>
        <v>0</v>
      </c>
      <c r="R51" s="128">
        <f t="shared" si="20"/>
        <v>1141</v>
      </c>
      <c r="S51" s="128">
        <f t="shared" si="21"/>
        <v>1141</v>
      </c>
      <c r="T51" s="128">
        <f t="shared" si="22"/>
        <v>6000</v>
      </c>
      <c r="U51" s="129">
        <f t="shared" si="23"/>
        <v>72000</v>
      </c>
      <c r="V51" s="130">
        <f t="shared" si="25"/>
        <v>0</v>
      </c>
      <c r="W51" s="118" t="str">
        <f t="shared" si="0"/>
        <v>6</v>
      </c>
    </row>
    <row r="52" spans="1:23" ht="43.5" customHeight="1">
      <c r="A52" s="124">
        <v>7</v>
      </c>
      <c r="B52" s="125" t="s">
        <v>80</v>
      </c>
      <c r="C52" s="126">
        <v>9</v>
      </c>
      <c r="D52" s="127">
        <v>1</v>
      </c>
      <c r="E52" s="127">
        <v>4619</v>
      </c>
      <c r="F52" s="126"/>
      <c r="G52" s="126">
        <f t="shared" si="14"/>
        <v>0</v>
      </c>
      <c r="H52" s="128">
        <f t="shared" si="15"/>
        <v>0</v>
      </c>
      <c r="I52" s="126"/>
      <c r="J52" s="126">
        <f t="shared" si="16"/>
        <v>0</v>
      </c>
      <c r="K52" s="128">
        <f t="shared" si="17"/>
        <v>0</v>
      </c>
      <c r="L52" s="126"/>
      <c r="M52" s="126">
        <f t="shared" si="24"/>
        <v>0</v>
      </c>
      <c r="N52" s="133">
        <f t="shared" si="26"/>
        <v>0</v>
      </c>
      <c r="O52" s="126"/>
      <c r="P52" s="126">
        <f t="shared" si="18"/>
        <v>0</v>
      </c>
      <c r="Q52" s="128">
        <f t="shared" si="19"/>
        <v>0</v>
      </c>
      <c r="R52" s="128">
        <f t="shared" si="20"/>
        <v>1381</v>
      </c>
      <c r="S52" s="128">
        <f t="shared" si="21"/>
        <v>1381</v>
      </c>
      <c r="T52" s="128">
        <f t="shared" si="22"/>
        <v>6000</v>
      </c>
      <c r="U52" s="129">
        <f t="shared" si="23"/>
        <v>72000</v>
      </c>
      <c r="V52" s="130">
        <f t="shared" si="25"/>
        <v>0</v>
      </c>
      <c r="W52" s="118" t="str">
        <f t="shared" si="0"/>
        <v>7</v>
      </c>
    </row>
    <row r="53" spans="1:23" ht="111" customHeight="1">
      <c r="A53" s="124">
        <v>8</v>
      </c>
      <c r="B53" s="125" t="s">
        <v>100</v>
      </c>
      <c r="C53" s="126">
        <v>9</v>
      </c>
      <c r="D53" s="127">
        <v>1</v>
      </c>
      <c r="E53" s="127">
        <v>4619</v>
      </c>
      <c r="F53" s="126"/>
      <c r="G53" s="126">
        <f t="shared" si="14"/>
        <v>0</v>
      </c>
      <c r="H53" s="128">
        <f t="shared" si="15"/>
        <v>0</v>
      </c>
      <c r="I53" s="126"/>
      <c r="J53" s="126">
        <f t="shared" si="16"/>
        <v>0</v>
      </c>
      <c r="K53" s="128">
        <f t="shared" si="17"/>
        <v>0</v>
      </c>
      <c r="L53" s="126"/>
      <c r="M53" s="126">
        <f t="shared" si="24"/>
        <v>0</v>
      </c>
      <c r="N53" s="133">
        <f t="shared" si="26"/>
        <v>0</v>
      </c>
      <c r="O53" s="126"/>
      <c r="P53" s="126">
        <f t="shared" si="18"/>
        <v>0</v>
      </c>
      <c r="Q53" s="128">
        <f t="shared" si="19"/>
        <v>0</v>
      </c>
      <c r="R53" s="128">
        <f t="shared" si="20"/>
        <v>1381</v>
      </c>
      <c r="S53" s="128">
        <f t="shared" si="21"/>
        <v>1381</v>
      </c>
      <c r="T53" s="128">
        <f t="shared" si="22"/>
        <v>6000</v>
      </c>
      <c r="U53" s="129">
        <f t="shared" si="23"/>
        <v>72000</v>
      </c>
      <c r="V53" s="130">
        <f t="shared" si="25"/>
        <v>0</v>
      </c>
      <c r="W53" s="118" t="str">
        <f t="shared" si="0"/>
        <v>8</v>
      </c>
    </row>
    <row r="54" spans="1:23" ht="93" customHeight="1">
      <c r="A54" s="124">
        <v>9</v>
      </c>
      <c r="B54" s="125" t="s">
        <v>81</v>
      </c>
      <c r="C54" s="126">
        <v>9</v>
      </c>
      <c r="D54" s="127">
        <v>1</v>
      </c>
      <c r="E54" s="127">
        <v>4619</v>
      </c>
      <c r="F54" s="126"/>
      <c r="G54" s="126">
        <f t="shared" si="14"/>
        <v>0</v>
      </c>
      <c r="H54" s="128">
        <f t="shared" si="15"/>
        <v>0</v>
      </c>
      <c r="I54" s="126"/>
      <c r="J54" s="126">
        <f t="shared" si="16"/>
        <v>0</v>
      </c>
      <c r="K54" s="128">
        <f t="shared" si="17"/>
        <v>0</v>
      </c>
      <c r="L54" s="126"/>
      <c r="M54" s="126">
        <f t="shared" si="24"/>
        <v>0</v>
      </c>
      <c r="N54" s="133">
        <f t="shared" si="26"/>
        <v>0</v>
      </c>
      <c r="O54" s="126"/>
      <c r="P54" s="126">
        <f t="shared" si="18"/>
        <v>0</v>
      </c>
      <c r="Q54" s="128">
        <f t="shared" si="19"/>
        <v>0</v>
      </c>
      <c r="R54" s="128">
        <f t="shared" si="20"/>
        <v>1381</v>
      </c>
      <c r="S54" s="128">
        <f t="shared" si="21"/>
        <v>1381</v>
      </c>
      <c r="T54" s="128">
        <f t="shared" si="22"/>
        <v>6000</v>
      </c>
      <c r="U54" s="129">
        <f t="shared" si="23"/>
        <v>72000</v>
      </c>
      <c r="V54" s="130">
        <f t="shared" si="25"/>
        <v>0</v>
      </c>
      <c r="W54" s="118" t="str">
        <f t="shared" si="0"/>
        <v>9</v>
      </c>
    </row>
    <row r="55" spans="1:23" ht="31.5" customHeight="1">
      <c r="A55" s="124">
        <v>10</v>
      </c>
      <c r="B55" s="125" t="s">
        <v>20</v>
      </c>
      <c r="C55" s="126">
        <v>5</v>
      </c>
      <c r="D55" s="127">
        <v>3</v>
      </c>
      <c r="E55" s="127">
        <v>3631</v>
      </c>
      <c r="F55" s="126"/>
      <c r="G55" s="126">
        <f t="shared" si="14"/>
        <v>0</v>
      </c>
      <c r="H55" s="128">
        <f t="shared" si="15"/>
        <v>0</v>
      </c>
      <c r="I55" s="126"/>
      <c r="J55" s="126">
        <f t="shared" si="16"/>
        <v>0</v>
      </c>
      <c r="K55" s="128">
        <f t="shared" si="17"/>
        <v>0</v>
      </c>
      <c r="L55" s="126"/>
      <c r="M55" s="126">
        <f t="shared" si="24"/>
        <v>0</v>
      </c>
      <c r="N55" s="133">
        <f t="shared" si="26"/>
        <v>0</v>
      </c>
      <c r="O55" s="126"/>
      <c r="P55" s="126">
        <f t="shared" si="18"/>
        <v>0</v>
      </c>
      <c r="Q55" s="128">
        <f t="shared" si="19"/>
        <v>0</v>
      </c>
      <c r="R55" s="128">
        <f t="shared" si="20"/>
        <v>7107</v>
      </c>
      <c r="S55" s="128">
        <f t="shared" si="21"/>
        <v>2369</v>
      </c>
      <c r="T55" s="128">
        <f t="shared" si="22"/>
        <v>18000</v>
      </c>
      <c r="U55" s="129">
        <f t="shared" si="23"/>
        <v>216000</v>
      </c>
      <c r="V55" s="130"/>
      <c r="W55" s="118" t="str">
        <f t="shared" si="0"/>
        <v>10</v>
      </c>
    </row>
    <row r="56" spans="1:23" ht="29.25" customHeight="1">
      <c r="A56" s="124">
        <v>11</v>
      </c>
      <c r="B56" s="125" t="s">
        <v>139</v>
      </c>
      <c r="C56" s="126">
        <v>5</v>
      </c>
      <c r="D56" s="127">
        <v>4</v>
      </c>
      <c r="E56" s="127">
        <v>3631</v>
      </c>
      <c r="F56" s="126"/>
      <c r="G56" s="126">
        <f>H56*$D56</f>
        <v>0</v>
      </c>
      <c r="H56" s="128">
        <f>E56*F56/100</f>
        <v>0</v>
      </c>
      <c r="I56" s="126"/>
      <c r="J56" s="126">
        <f>K56*$D56</f>
        <v>0</v>
      </c>
      <c r="K56" s="128">
        <f>ROUND(E56*I56/100,2)</f>
        <v>0</v>
      </c>
      <c r="L56" s="126"/>
      <c r="M56" s="126">
        <f>N56*D56</f>
        <v>0</v>
      </c>
      <c r="N56" s="133">
        <f>ROUND(E56*L56/100*D56,2)</f>
        <v>0</v>
      </c>
      <c r="O56" s="126"/>
      <c r="P56" s="126">
        <f>Q56*D56</f>
        <v>0</v>
      </c>
      <c r="Q56" s="128">
        <f>E56*O56/100</f>
        <v>0</v>
      </c>
      <c r="R56" s="128">
        <f>S56*D56</f>
        <v>9476</v>
      </c>
      <c r="S56" s="128">
        <f>MAX($W$1-ROUND(ROUND((E56+H56+N56+K56+Q56)*D56,2)/D56,2),0)</f>
        <v>2369</v>
      </c>
      <c r="T56" s="128">
        <f>ROUND((E56+H56+N56+K56+Q56+S56)*D56,2)</f>
        <v>24000</v>
      </c>
      <c r="U56" s="129">
        <f t="shared" si="23"/>
        <v>288000</v>
      </c>
      <c r="V56" s="130"/>
      <c r="W56" s="118" t="str">
        <f t="shared" si="0"/>
        <v>11</v>
      </c>
    </row>
    <row r="57" spans="1:23" ht="40.5" customHeight="1">
      <c r="A57" s="124">
        <v>12</v>
      </c>
      <c r="B57" s="125" t="s">
        <v>54</v>
      </c>
      <c r="C57" s="126">
        <v>5</v>
      </c>
      <c r="D57" s="127">
        <v>1</v>
      </c>
      <c r="E57" s="127">
        <v>3631</v>
      </c>
      <c r="F57" s="126"/>
      <c r="G57" s="126">
        <f t="shared" si="14"/>
        <v>0</v>
      </c>
      <c r="H57" s="128">
        <f t="shared" si="15"/>
        <v>0</v>
      </c>
      <c r="I57" s="126"/>
      <c r="J57" s="126">
        <f t="shared" si="16"/>
        <v>0</v>
      </c>
      <c r="K57" s="128">
        <f t="shared" si="17"/>
        <v>0</v>
      </c>
      <c r="L57" s="126"/>
      <c r="M57" s="126">
        <f t="shared" si="24"/>
        <v>0</v>
      </c>
      <c r="N57" s="133">
        <f t="shared" si="26"/>
        <v>0</v>
      </c>
      <c r="O57" s="126"/>
      <c r="P57" s="126">
        <f t="shared" si="18"/>
        <v>0</v>
      </c>
      <c r="Q57" s="128">
        <f t="shared" si="19"/>
        <v>0</v>
      </c>
      <c r="R57" s="128">
        <f t="shared" si="20"/>
        <v>2369</v>
      </c>
      <c r="S57" s="128">
        <f t="shared" si="21"/>
        <v>2369</v>
      </c>
      <c r="T57" s="128">
        <f t="shared" si="22"/>
        <v>6000</v>
      </c>
      <c r="U57" s="129">
        <f t="shared" si="23"/>
        <v>72000</v>
      </c>
      <c r="V57" s="130">
        <f t="shared" si="25"/>
        <v>0</v>
      </c>
      <c r="W57" s="118" t="str">
        <f t="shared" si="0"/>
        <v>12</v>
      </c>
    </row>
    <row r="58" spans="1:23" ht="36.75" customHeight="1">
      <c r="A58" s="124">
        <v>13</v>
      </c>
      <c r="B58" s="125" t="s">
        <v>57</v>
      </c>
      <c r="C58" s="126">
        <v>10</v>
      </c>
      <c r="D58" s="127">
        <v>1</v>
      </c>
      <c r="E58" s="127">
        <v>4859</v>
      </c>
      <c r="F58" s="126">
        <v>30</v>
      </c>
      <c r="G58" s="126">
        <f t="shared" si="14"/>
        <v>1457.7</v>
      </c>
      <c r="H58" s="128">
        <f t="shared" si="15"/>
        <v>1457.7</v>
      </c>
      <c r="I58" s="126"/>
      <c r="J58" s="126">
        <f t="shared" si="16"/>
        <v>0</v>
      </c>
      <c r="K58" s="128">
        <f t="shared" si="17"/>
        <v>0</v>
      </c>
      <c r="L58" s="126"/>
      <c r="M58" s="126">
        <f t="shared" si="24"/>
        <v>0</v>
      </c>
      <c r="N58" s="133">
        <f t="shared" si="26"/>
        <v>0</v>
      </c>
      <c r="O58" s="126">
        <v>50</v>
      </c>
      <c r="P58" s="126">
        <f t="shared" si="18"/>
        <v>2429.5</v>
      </c>
      <c r="Q58" s="128">
        <f t="shared" si="19"/>
        <v>2429.5</v>
      </c>
      <c r="R58" s="128">
        <f t="shared" si="20"/>
        <v>0</v>
      </c>
      <c r="S58" s="128">
        <f t="shared" si="21"/>
        <v>0</v>
      </c>
      <c r="T58" s="128">
        <f t="shared" si="22"/>
        <v>8746.2</v>
      </c>
      <c r="U58" s="129">
        <f t="shared" si="23"/>
        <v>104954.4</v>
      </c>
      <c r="V58" s="130">
        <f t="shared" si="25"/>
        <v>0</v>
      </c>
      <c r="W58" s="118" t="str">
        <f t="shared" si="0"/>
        <v>13</v>
      </c>
    </row>
    <row r="59" spans="1:23" ht="39" customHeight="1">
      <c r="A59" s="124">
        <v>14</v>
      </c>
      <c r="B59" s="125" t="s">
        <v>82</v>
      </c>
      <c r="C59" s="126">
        <v>9</v>
      </c>
      <c r="D59" s="127">
        <v>1</v>
      </c>
      <c r="E59" s="127">
        <v>4619</v>
      </c>
      <c r="F59" s="126"/>
      <c r="G59" s="126">
        <f t="shared" si="14"/>
        <v>0</v>
      </c>
      <c r="H59" s="128"/>
      <c r="I59" s="126"/>
      <c r="J59" s="126">
        <f t="shared" si="16"/>
        <v>0</v>
      </c>
      <c r="K59" s="128">
        <f t="shared" si="17"/>
        <v>0</v>
      </c>
      <c r="L59" s="126"/>
      <c r="M59" s="126">
        <f t="shared" si="24"/>
        <v>0</v>
      </c>
      <c r="N59" s="133">
        <f t="shared" si="26"/>
        <v>0</v>
      </c>
      <c r="O59" s="126"/>
      <c r="P59" s="126">
        <f t="shared" si="18"/>
        <v>0</v>
      </c>
      <c r="Q59" s="128">
        <f t="shared" si="19"/>
        <v>0</v>
      </c>
      <c r="R59" s="128">
        <f t="shared" si="20"/>
        <v>1381</v>
      </c>
      <c r="S59" s="128">
        <f t="shared" si="21"/>
        <v>1381</v>
      </c>
      <c r="T59" s="128">
        <f t="shared" si="22"/>
        <v>6000</v>
      </c>
      <c r="U59" s="129">
        <f t="shared" si="23"/>
        <v>72000</v>
      </c>
      <c r="V59" s="130">
        <f t="shared" si="25"/>
        <v>0</v>
      </c>
      <c r="W59" s="118" t="str">
        <f t="shared" si="0"/>
        <v>14</v>
      </c>
    </row>
    <row r="60" spans="1:23" ht="49.5" customHeight="1">
      <c r="A60" s="124">
        <v>15</v>
      </c>
      <c r="B60" s="125" t="s">
        <v>58</v>
      </c>
      <c r="C60" s="126">
        <v>0.7</v>
      </c>
      <c r="D60" s="127">
        <v>1</v>
      </c>
      <c r="E60" s="133">
        <v>5999.7</v>
      </c>
      <c r="F60" s="126"/>
      <c r="G60" s="126">
        <f t="shared" si="14"/>
        <v>0</v>
      </c>
      <c r="H60" s="128"/>
      <c r="I60" s="126"/>
      <c r="J60" s="126">
        <f t="shared" si="16"/>
        <v>0</v>
      </c>
      <c r="K60" s="128">
        <f t="shared" si="17"/>
        <v>0</v>
      </c>
      <c r="L60" s="126"/>
      <c r="M60" s="126">
        <f t="shared" si="24"/>
        <v>0</v>
      </c>
      <c r="N60" s="133">
        <f t="shared" si="26"/>
        <v>0</v>
      </c>
      <c r="O60" s="126">
        <v>50</v>
      </c>
      <c r="P60" s="126">
        <f t="shared" si="18"/>
        <v>2999.85</v>
      </c>
      <c r="Q60" s="128">
        <f t="shared" si="19"/>
        <v>2999.85</v>
      </c>
      <c r="R60" s="128">
        <f t="shared" si="20"/>
        <v>0</v>
      </c>
      <c r="S60" s="128">
        <f t="shared" si="21"/>
        <v>0</v>
      </c>
      <c r="T60" s="128">
        <f t="shared" si="22"/>
        <v>8999.55</v>
      </c>
      <c r="U60" s="129">
        <f t="shared" si="23"/>
        <v>107994.6</v>
      </c>
      <c r="V60" s="130"/>
      <c r="W60" s="118" t="str">
        <f t="shared" si="0"/>
        <v>15</v>
      </c>
    </row>
    <row r="61" spans="1:23" ht="39.75" customHeight="1">
      <c r="A61" s="124">
        <v>16</v>
      </c>
      <c r="B61" s="125" t="s">
        <v>83</v>
      </c>
      <c r="C61" s="126">
        <v>6</v>
      </c>
      <c r="D61" s="127">
        <v>1</v>
      </c>
      <c r="E61" s="127">
        <v>3872</v>
      </c>
      <c r="F61" s="126"/>
      <c r="G61" s="126">
        <f t="shared" si="14"/>
        <v>0</v>
      </c>
      <c r="H61" s="128"/>
      <c r="I61" s="126"/>
      <c r="J61" s="126">
        <f t="shared" si="16"/>
        <v>0</v>
      </c>
      <c r="K61" s="128">
        <f t="shared" si="17"/>
        <v>0</v>
      </c>
      <c r="L61" s="126"/>
      <c r="M61" s="126">
        <f t="shared" si="24"/>
        <v>0</v>
      </c>
      <c r="N61" s="133">
        <f t="shared" si="26"/>
        <v>0</v>
      </c>
      <c r="O61" s="126"/>
      <c r="P61" s="126">
        <f t="shared" si="18"/>
        <v>0</v>
      </c>
      <c r="Q61" s="128"/>
      <c r="R61" s="128">
        <f t="shared" si="20"/>
        <v>2128</v>
      </c>
      <c r="S61" s="128">
        <f t="shared" si="21"/>
        <v>2128</v>
      </c>
      <c r="T61" s="128">
        <f t="shared" si="22"/>
        <v>6000</v>
      </c>
      <c r="U61" s="129">
        <f t="shared" si="23"/>
        <v>72000</v>
      </c>
      <c r="V61" s="130"/>
      <c r="W61" s="118" t="str">
        <f t="shared" si="0"/>
        <v>16</v>
      </c>
    </row>
    <row r="62" spans="1:23" ht="53.25" customHeight="1">
      <c r="A62" s="124">
        <v>17</v>
      </c>
      <c r="B62" s="125" t="s">
        <v>140</v>
      </c>
      <c r="C62" s="126">
        <v>5</v>
      </c>
      <c r="D62" s="127">
        <v>1</v>
      </c>
      <c r="E62" s="127">
        <v>3631</v>
      </c>
      <c r="F62" s="126"/>
      <c r="G62" s="126">
        <f>H62*$D62</f>
        <v>0</v>
      </c>
      <c r="H62" s="128"/>
      <c r="I62" s="126"/>
      <c r="J62" s="126">
        <f>K62*$D62</f>
        <v>0</v>
      </c>
      <c r="K62" s="128">
        <f>ROUND(E62*I62/100,2)</f>
        <v>0</v>
      </c>
      <c r="L62" s="126"/>
      <c r="M62" s="126">
        <f>N62*D62</f>
        <v>0</v>
      </c>
      <c r="N62" s="133">
        <f>ROUND(E62*L62/100*D62,2)</f>
        <v>0</v>
      </c>
      <c r="O62" s="126"/>
      <c r="P62" s="126">
        <f>Q62*D62</f>
        <v>0</v>
      </c>
      <c r="Q62" s="128"/>
      <c r="R62" s="128">
        <f>S62*D62</f>
        <v>2369</v>
      </c>
      <c r="S62" s="128">
        <f>MAX($W$1-ROUND(ROUND((E62+H62+N62+K62+Q62)*D62,2)/D62,2),0)</f>
        <v>2369</v>
      </c>
      <c r="T62" s="128">
        <f>ROUND((E62+H62+N62+K62+Q62+S62)*D62,2)</f>
        <v>6000</v>
      </c>
      <c r="U62" s="129">
        <f t="shared" si="23"/>
        <v>72000</v>
      </c>
      <c r="V62" s="130"/>
      <c r="W62" s="118"/>
    </row>
    <row r="63" spans="1:23" ht="28.5" customHeight="1">
      <c r="A63" s="124">
        <v>18</v>
      </c>
      <c r="B63" s="125" t="s">
        <v>59</v>
      </c>
      <c r="C63" s="126">
        <v>10</v>
      </c>
      <c r="D63" s="127">
        <v>4</v>
      </c>
      <c r="E63" s="127">
        <v>4859</v>
      </c>
      <c r="F63" s="126"/>
      <c r="G63" s="126">
        <f t="shared" si="14"/>
        <v>0</v>
      </c>
      <c r="H63" s="128"/>
      <c r="I63" s="126"/>
      <c r="J63" s="126">
        <f t="shared" si="16"/>
        <v>0</v>
      </c>
      <c r="K63" s="128">
        <f t="shared" si="17"/>
        <v>0</v>
      </c>
      <c r="L63" s="126">
        <v>15</v>
      </c>
      <c r="M63" s="126">
        <f t="shared" si="24"/>
        <v>2915.4</v>
      </c>
      <c r="N63" s="133">
        <f>ROUND(E63*L63/100,2)</f>
        <v>728.85</v>
      </c>
      <c r="O63" s="126"/>
      <c r="P63" s="126">
        <f t="shared" si="18"/>
        <v>0</v>
      </c>
      <c r="Q63" s="128"/>
      <c r="R63" s="128">
        <f t="shared" si="20"/>
        <v>0</v>
      </c>
      <c r="S63" s="128"/>
      <c r="T63" s="128">
        <f t="shared" si="22"/>
        <v>22351.4</v>
      </c>
      <c r="U63" s="129">
        <f t="shared" si="23"/>
        <v>268216.8</v>
      </c>
      <c r="V63" s="130"/>
      <c r="W63" s="118" t="str">
        <f t="shared" si="0"/>
        <v>18</v>
      </c>
    </row>
    <row r="64" spans="1:23" ht="33.75" customHeight="1">
      <c r="A64" s="124">
        <v>19</v>
      </c>
      <c r="B64" s="125" t="s">
        <v>69</v>
      </c>
      <c r="C64" s="126">
        <v>9</v>
      </c>
      <c r="D64" s="127">
        <v>1</v>
      </c>
      <c r="E64" s="127">
        <v>4619</v>
      </c>
      <c r="F64" s="126"/>
      <c r="G64" s="126">
        <f t="shared" si="14"/>
        <v>0</v>
      </c>
      <c r="H64" s="128"/>
      <c r="I64" s="126"/>
      <c r="J64" s="126">
        <f t="shared" si="16"/>
        <v>0</v>
      </c>
      <c r="K64" s="128">
        <f t="shared" si="17"/>
        <v>0</v>
      </c>
      <c r="L64" s="126">
        <v>15</v>
      </c>
      <c r="M64" s="126">
        <f t="shared" si="24"/>
        <v>692.85</v>
      </c>
      <c r="N64" s="133">
        <f>ROUND(E64*L64/100,2)</f>
        <v>692.85</v>
      </c>
      <c r="O64" s="126"/>
      <c r="P64" s="126">
        <f t="shared" si="18"/>
        <v>0</v>
      </c>
      <c r="Q64" s="128"/>
      <c r="R64" s="128">
        <f t="shared" si="20"/>
        <v>0</v>
      </c>
      <c r="S64" s="128"/>
      <c r="T64" s="128">
        <f t="shared" si="22"/>
        <v>5311.85</v>
      </c>
      <c r="U64" s="129">
        <f t="shared" si="23"/>
        <v>63742.2</v>
      </c>
      <c r="V64" s="130"/>
      <c r="W64" s="118" t="str">
        <f t="shared" si="0"/>
        <v>19</v>
      </c>
    </row>
    <row r="65" spans="1:23" ht="80.25" customHeight="1">
      <c r="A65" s="124">
        <v>20</v>
      </c>
      <c r="B65" s="125" t="s">
        <v>60</v>
      </c>
      <c r="C65" s="126">
        <v>10</v>
      </c>
      <c r="D65" s="127">
        <v>1</v>
      </c>
      <c r="E65" s="127">
        <v>4859</v>
      </c>
      <c r="F65" s="126"/>
      <c r="G65" s="126">
        <f t="shared" si="14"/>
        <v>0</v>
      </c>
      <c r="H65" s="128"/>
      <c r="I65" s="126"/>
      <c r="J65" s="126">
        <f t="shared" si="16"/>
        <v>0</v>
      </c>
      <c r="K65" s="128">
        <f t="shared" si="17"/>
        <v>0</v>
      </c>
      <c r="L65" s="126"/>
      <c r="M65" s="126">
        <f t="shared" si="24"/>
        <v>0</v>
      </c>
      <c r="N65" s="133"/>
      <c r="O65" s="126"/>
      <c r="P65" s="126">
        <f t="shared" si="18"/>
        <v>0</v>
      </c>
      <c r="Q65" s="128"/>
      <c r="R65" s="128">
        <f t="shared" si="20"/>
        <v>1141</v>
      </c>
      <c r="S65" s="128">
        <f t="shared" si="21"/>
        <v>1141</v>
      </c>
      <c r="T65" s="128">
        <f t="shared" si="22"/>
        <v>6000</v>
      </c>
      <c r="U65" s="129">
        <f t="shared" si="23"/>
        <v>72000</v>
      </c>
      <c r="V65" s="130"/>
      <c r="W65" s="118" t="str">
        <f t="shared" si="0"/>
        <v>20</v>
      </c>
    </row>
    <row r="66" spans="1:23" ht="32.25" customHeight="1">
      <c r="A66" s="124">
        <v>21</v>
      </c>
      <c r="B66" s="125" t="s">
        <v>68</v>
      </c>
      <c r="C66" s="126">
        <v>8</v>
      </c>
      <c r="D66" s="127">
        <v>1</v>
      </c>
      <c r="E66" s="127">
        <v>4379</v>
      </c>
      <c r="F66" s="126"/>
      <c r="G66" s="126">
        <f t="shared" si="14"/>
        <v>0</v>
      </c>
      <c r="H66" s="128"/>
      <c r="I66" s="126"/>
      <c r="J66" s="126">
        <f t="shared" si="16"/>
        <v>0</v>
      </c>
      <c r="K66" s="128">
        <f t="shared" si="17"/>
        <v>0</v>
      </c>
      <c r="L66" s="126"/>
      <c r="M66" s="126">
        <f t="shared" si="24"/>
        <v>0</v>
      </c>
      <c r="N66" s="133"/>
      <c r="O66" s="126"/>
      <c r="P66" s="126">
        <f t="shared" si="18"/>
        <v>0</v>
      </c>
      <c r="Q66" s="128"/>
      <c r="R66" s="128">
        <f t="shared" si="20"/>
        <v>1621</v>
      </c>
      <c r="S66" s="128">
        <f t="shared" si="21"/>
        <v>1621</v>
      </c>
      <c r="T66" s="128">
        <f t="shared" si="22"/>
        <v>6000</v>
      </c>
      <c r="U66" s="129">
        <f t="shared" si="23"/>
        <v>72000</v>
      </c>
      <c r="V66" s="130"/>
      <c r="W66" s="118" t="str">
        <f t="shared" si="0"/>
        <v>21</v>
      </c>
    </row>
    <row r="67" spans="1:23" ht="31.5" customHeight="1">
      <c r="A67" s="124">
        <v>22</v>
      </c>
      <c r="B67" s="125" t="s">
        <v>67</v>
      </c>
      <c r="C67" s="126">
        <v>5</v>
      </c>
      <c r="D67" s="127">
        <v>1</v>
      </c>
      <c r="E67" s="127">
        <v>3631</v>
      </c>
      <c r="F67" s="126"/>
      <c r="G67" s="126">
        <f t="shared" si="14"/>
        <v>0</v>
      </c>
      <c r="H67" s="128"/>
      <c r="I67" s="126"/>
      <c r="J67" s="126">
        <f t="shared" si="16"/>
        <v>0</v>
      </c>
      <c r="K67" s="128">
        <f t="shared" si="17"/>
        <v>0</v>
      </c>
      <c r="L67" s="126"/>
      <c r="M67" s="126">
        <f t="shared" si="24"/>
        <v>0</v>
      </c>
      <c r="N67" s="133"/>
      <c r="O67" s="126"/>
      <c r="P67" s="126">
        <f t="shared" si="18"/>
        <v>0</v>
      </c>
      <c r="Q67" s="128"/>
      <c r="R67" s="128">
        <f t="shared" si="20"/>
        <v>2369</v>
      </c>
      <c r="S67" s="128">
        <f t="shared" si="21"/>
        <v>2369</v>
      </c>
      <c r="T67" s="128">
        <f t="shared" si="22"/>
        <v>6000</v>
      </c>
      <c r="U67" s="129">
        <f t="shared" si="23"/>
        <v>72000</v>
      </c>
      <c r="V67" s="130"/>
      <c r="W67" s="118" t="str">
        <f t="shared" si="0"/>
        <v>22</v>
      </c>
    </row>
    <row r="68" spans="1:23" ht="33" customHeight="1">
      <c r="A68" s="124">
        <v>23</v>
      </c>
      <c r="B68" s="125" t="s">
        <v>137</v>
      </c>
      <c r="C68" s="126">
        <v>5</v>
      </c>
      <c r="D68" s="127">
        <v>1</v>
      </c>
      <c r="E68" s="127">
        <v>3631</v>
      </c>
      <c r="F68" s="126"/>
      <c r="G68" s="126">
        <f>H68*$D68</f>
        <v>0</v>
      </c>
      <c r="H68" s="128"/>
      <c r="I68" s="126"/>
      <c r="J68" s="126">
        <f>K68*$D68</f>
        <v>0</v>
      </c>
      <c r="K68" s="128">
        <f>ROUND(E68*I68/100,2)</f>
        <v>0</v>
      </c>
      <c r="L68" s="126"/>
      <c r="M68" s="126">
        <f>N68*D68</f>
        <v>0</v>
      </c>
      <c r="N68" s="133"/>
      <c r="O68" s="126"/>
      <c r="P68" s="126">
        <f>Q68*D68</f>
        <v>0</v>
      </c>
      <c r="Q68" s="128"/>
      <c r="R68" s="128">
        <f>S68*D68</f>
        <v>2369</v>
      </c>
      <c r="S68" s="128">
        <f>MAX($W$1-ROUND(ROUND((E68+H68+N68+K68+Q68)*D68,2)/D68,2),0)</f>
        <v>2369</v>
      </c>
      <c r="T68" s="128">
        <f>ROUND((E68+H68+N68+K68+Q68+S68)*D68,2)</f>
        <v>6000</v>
      </c>
      <c r="U68" s="129">
        <f t="shared" si="23"/>
        <v>72000</v>
      </c>
      <c r="V68" s="130"/>
      <c r="W68" s="118"/>
    </row>
    <row r="69" spans="1:23" ht="37.5" customHeight="1">
      <c r="A69" s="124">
        <v>24</v>
      </c>
      <c r="B69" s="125" t="s">
        <v>90</v>
      </c>
      <c r="C69" s="126">
        <v>7</v>
      </c>
      <c r="D69" s="127">
        <v>1</v>
      </c>
      <c r="E69" s="127">
        <v>4112</v>
      </c>
      <c r="F69" s="126"/>
      <c r="G69" s="126">
        <f>H69*$D69</f>
        <v>0</v>
      </c>
      <c r="H69" s="128"/>
      <c r="I69" s="126"/>
      <c r="J69" s="126">
        <f>K69*$D69</f>
        <v>0</v>
      </c>
      <c r="K69" s="128">
        <f>ROUND(E69*I69/100,2)</f>
        <v>0</v>
      </c>
      <c r="L69" s="126"/>
      <c r="M69" s="126">
        <f>N69*D69</f>
        <v>0</v>
      </c>
      <c r="N69" s="133"/>
      <c r="O69" s="126"/>
      <c r="P69" s="126">
        <f>Q69*D69</f>
        <v>0</v>
      </c>
      <c r="Q69" s="128"/>
      <c r="R69" s="128">
        <f>S69*D69</f>
        <v>1888</v>
      </c>
      <c r="S69" s="128">
        <f>MAX($W$1-ROUND(ROUND((E69+H69+N69+K69+Q69)*D69,2)/D69,2),0)</f>
        <v>1888</v>
      </c>
      <c r="T69" s="128">
        <f>ROUND((E69+H69+N69+K69+Q69+S69)*D69,2)</f>
        <v>6000</v>
      </c>
      <c r="U69" s="129">
        <f t="shared" si="23"/>
        <v>72000</v>
      </c>
      <c r="V69" s="130"/>
      <c r="W69" s="118"/>
    </row>
    <row r="70" spans="1:23" ht="27" customHeight="1">
      <c r="A70" s="124">
        <v>25</v>
      </c>
      <c r="B70" s="125" t="s">
        <v>138</v>
      </c>
      <c r="C70" s="126">
        <v>5</v>
      </c>
      <c r="D70" s="127">
        <v>1</v>
      </c>
      <c r="E70" s="127">
        <v>3631</v>
      </c>
      <c r="F70" s="126"/>
      <c r="G70" s="126">
        <f>H70*$D70</f>
        <v>0</v>
      </c>
      <c r="H70" s="128"/>
      <c r="I70" s="126"/>
      <c r="J70" s="126">
        <f>K70*$D70</f>
        <v>0</v>
      </c>
      <c r="K70" s="128">
        <f>ROUND(E70*I70/100,2)</f>
        <v>0</v>
      </c>
      <c r="L70" s="126"/>
      <c r="M70" s="126">
        <f>N70*D70</f>
        <v>0</v>
      </c>
      <c r="N70" s="133"/>
      <c r="O70" s="126"/>
      <c r="P70" s="126">
        <f>Q70*D70</f>
        <v>0</v>
      </c>
      <c r="Q70" s="128"/>
      <c r="R70" s="128">
        <f>S70*D70</f>
        <v>2369</v>
      </c>
      <c r="S70" s="128">
        <f>MAX($W$1-ROUND(ROUND((E70+H70+N70+K70+Q70)*D70,2)/D70,2),0)</f>
        <v>2369</v>
      </c>
      <c r="T70" s="128">
        <f>ROUND((E70+H70+N70+K70+Q70+S70)*D70,2)</f>
        <v>6000</v>
      </c>
      <c r="U70" s="129">
        <f t="shared" si="23"/>
        <v>72000</v>
      </c>
      <c r="V70" s="130"/>
      <c r="W70" s="118"/>
    </row>
    <row r="71" spans="1:23" ht="30" customHeight="1">
      <c r="A71" s="124">
        <v>26</v>
      </c>
      <c r="B71" s="125" t="s">
        <v>61</v>
      </c>
      <c r="C71" s="126">
        <v>7</v>
      </c>
      <c r="D71" s="127">
        <v>1</v>
      </c>
      <c r="E71" s="127">
        <v>4112</v>
      </c>
      <c r="F71" s="126"/>
      <c r="G71" s="126">
        <f t="shared" si="14"/>
        <v>0</v>
      </c>
      <c r="H71" s="128"/>
      <c r="I71" s="126"/>
      <c r="J71" s="126">
        <f t="shared" si="16"/>
        <v>0</v>
      </c>
      <c r="K71" s="128">
        <f t="shared" si="17"/>
        <v>0</v>
      </c>
      <c r="L71" s="126"/>
      <c r="M71" s="126">
        <f t="shared" si="24"/>
        <v>0</v>
      </c>
      <c r="N71" s="133"/>
      <c r="O71" s="126"/>
      <c r="P71" s="126">
        <f t="shared" si="18"/>
        <v>0</v>
      </c>
      <c r="Q71" s="128"/>
      <c r="R71" s="128">
        <f t="shared" si="20"/>
        <v>1888</v>
      </c>
      <c r="S71" s="128">
        <f t="shared" si="21"/>
        <v>1888</v>
      </c>
      <c r="T71" s="128">
        <f t="shared" si="22"/>
        <v>6000</v>
      </c>
      <c r="U71" s="129">
        <f t="shared" si="23"/>
        <v>72000</v>
      </c>
      <c r="V71" s="130"/>
      <c r="W71" s="118" t="str">
        <f t="shared" si="0"/>
        <v>26</v>
      </c>
    </row>
    <row r="72" spans="1:23" ht="30" customHeight="1">
      <c r="A72" s="124">
        <v>27</v>
      </c>
      <c r="B72" s="144" t="s">
        <v>91</v>
      </c>
      <c r="C72" s="126">
        <v>8</v>
      </c>
      <c r="D72" s="126">
        <v>1</v>
      </c>
      <c r="E72" s="126">
        <v>4379</v>
      </c>
      <c r="F72" s="126"/>
      <c r="G72" s="126">
        <f>H72*$D72</f>
        <v>0</v>
      </c>
      <c r="H72" s="126"/>
      <c r="I72" s="126"/>
      <c r="J72" s="126">
        <f>K72*$D72</f>
        <v>0</v>
      </c>
      <c r="K72" s="126"/>
      <c r="L72" s="126"/>
      <c r="M72" s="126">
        <f>N72*D72</f>
        <v>0</v>
      </c>
      <c r="N72" s="126"/>
      <c r="O72" s="126"/>
      <c r="P72" s="126">
        <f>Q72*D72</f>
        <v>0</v>
      </c>
      <c r="Q72" s="126"/>
      <c r="R72" s="128">
        <f>S72*D72</f>
        <v>1621</v>
      </c>
      <c r="S72" s="128">
        <f>MAX($W$1-ROUND(ROUND((E72+H72+N72+K72+Q72)*D72,2)/D72,2),0)</f>
        <v>1621</v>
      </c>
      <c r="T72" s="128">
        <f>ROUND((E72+H72+N72+K72+Q72+S72)*D72,2)</f>
        <v>6000</v>
      </c>
      <c r="U72" s="129">
        <f t="shared" si="23"/>
        <v>72000</v>
      </c>
      <c r="V72" s="130"/>
      <c r="W72" s="118"/>
    </row>
    <row r="73" spans="1:23" ht="30" customHeight="1" thickBot="1">
      <c r="A73" s="124">
        <v>28</v>
      </c>
      <c r="B73" s="145" t="s">
        <v>93</v>
      </c>
      <c r="C73" s="136">
        <v>5</v>
      </c>
      <c r="D73" s="136">
        <v>1</v>
      </c>
      <c r="E73" s="136">
        <v>3631</v>
      </c>
      <c r="F73" s="136"/>
      <c r="G73" s="136">
        <f>H73*$D73</f>
        <v>0</v>
      </c>
      <c r="H73" s="136"/>
      <c r="I73" s="136"/>
      <c r="J73" s="136">
        <f>K73*$D73</f>
        <v>0</v>
      </c>
      <c r="K73" s="136"/>
      <c r="L73" s="136"/>
      <c r="M73" s="136">
        <f>N73*D73</f>
        <v>0</v>
      </c>
      <c r="N73" s="136"/>
      <c r="O73" s="136"/>
      <c r="P73" s="136">
        <f>Q73*D73</f>
        <v>0</v>
      </c>
      <c r="Q73" s="136"/>
      <c r="R73" s="128">
        <f>S73*D73</f>
        <v>2369</v>
      </c>
      <c r="S73" s="128">
        <f>MAX($W$1-ROUND(ROUND((E73+H73+N73+K73+Q73)*D73,2)/D73,2),0)</f>
        <v>2369</v>
      </c>
      <c r="T73" s="128">
        <f>ROUND((E73+H73+N73+K73+Q73+S73)*D73,2)</f>
        <v>6000</v>
      </c>
      <c r="U73" s="129">
        <f t="shared" si="23"/>
        <v>72000</v>
      </c>
      <c r="V73" s="130"/>
      <c r="W73" s="118"/>
    </row>
    <row r="74" spans="1:23" ht="31.5" customHeight="1" thickBot="1">
      <c r="A74" s="303" t="s">
        <v>55</v>
      </c>
      <c r="B74" s="304"/>
      <c r="C74" s="139" t="s">
        <v>15</v>
      </c>
      <c r="D74" s="143">
        <f>SUM(D46:D73)</f>
        <v>36</v>
      </c>
      <c r="E74" s="141">
        <f>T74-H74-N74-K74-Q74-S74</f>
        <v>161490.5</v>
      </c>
      <c r="F74" s="139" t="s">
        <v>15</v>
      </c>
      <c r="G74" s="139"/>
      <c r="H74" s="141">
        <f>ROUND(SUM(G46:G73),2)</f>
        <v>3155.7</v>
      </c>
      <c r="I74" s="139" t="s">
        <v>15</v>
      </c>
      <c r="J74" s="139"/>
      <c r="K74" s="141">
        <f>ROUND(SUM(J46:J71),2)</f>
        <v>0</v>
      </c>
      <c r="L74" s="139" t="s">
        <v>15</v>
      </c>
      <c r="M74" s="139"/>
      <c r="N74" s="141">
        <f>ROUND(SUM(M46:M73),2)</f>
        <v>5922.43</v>
      </c>
      <c r="O74" s="139" t="s">
        <v>15</v>
      </c>
      <c r="P74" s="139"/>
      <c r="Q74" s="141">
        <f>ROUND(SUM(P46:P73),2)</f>
        <v>9030.74</v>
      </c>
      <c r="R74" s="141"/>
      <c r="S74" s="141">
        <f>ROUND(SUM(R46:R73),2)</f>
        <v>50511</v>
      </c>
      <c r="T74" s="141">
        <f>SUM(T46:T73)</f>
        <v>230110.37</v>
      </c>
      <c r="U74" s="142">
        <f>SUM(U46:U73)</f>
        <v>2761324.44</v>
      </c>
      <c r="V74" s="130"/>
      <c r="W74" s="118" t="str">
        <f t="shared" si="0"/>
        <v>Всього</v>
      </c>
    </row>
    <row r="75" spans="1:23" ht="28.5" customHeight="1">
      <c r="A75" s="269" t="s">
        <v>84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1"/>
      <c r="V75" s="130">
        <f>IF(D75&gt;0,IF((U75/D75-Q75)&gt;$W$1,0,($W$1-(U75/D75-Q75))*D75),0)</f>
        <v>0</v>
      </c>
      <c r="W75" s="118" t="str">
        <f t="shared" si="0"/>
        <v>1.4.Ро</v>
      </c>
    </row>
    <row r="76" spans="1:23" ht="45.75" customHeight="1">
      <c r="A76" s="124">
        <v>1</v>
      </c>
      <c r="B76" s="125" t="s">
        <v>21</v>
      </c>
      <c r="C76" s="126">
        <v>2</v>
      </c>
      <c r="D76" s="127">
        <v>14</v>
      </c>
      <c r="E76" s="127">
        <v>2910</v>
      </c>
      <c r="F76" s="126"/>
      <c r="G76" s="126">
        <f aca="true" t="shared" si="27" ref="G76:G81">H76*$D76</f>
        <v>0</v>
      </c>
      <c r="H76" s="128">
        <f>E76*F76/100</f>
        <v>0</v>
      </c>
      <c r="I76" s="126"/>
      <c r="J76" s="126">
        <f aca="true" t="shared" si="28" ref="J76:J81">K76*$D76</f>
        <v>0</v>
      </c>
      <c r="K76" s="128">
        <f>ROUND(E76*I76/100,2)</f>
        <v>0</v>
      </c>
      <c r="L76" s="126"/>
      <c r="M76" s="126">
        <f aca="true" t="shared" si="29" ref="M76:M81">N76*D76</f>
        <v>0</v>
      </c>
      <c r="N76" s="128">
        <f>ROUND(E76*L76/100*D76,2)</f>
        <v>0</v>
      </c>
      <c r="O76" s="126">
        <v>10</v>
      </c>
      <c r="P76" s="126">
        <f aca="true" t="shared" si="30" ref="P76:P81">Q76*D76</f>
        <v>4074</v>
      </c>
      <c r="Q76" s="128">
        <f>E76*O76/100</f>
        <v>291</v>
      </c>
      <c r="R76" s="128">
        <f aca="true" t="shared" si="31" ref="R76:R81">S76*D76</f>
        <v>43260</v>
      </c>
      <c r="S76" s="128">
        <f>MAX($W$1-ROUND(ROUND((E76+H76+N76+K76)*D76,2)/D76,2),0)</f>
        <v>3090</v>
      </c>
      <c r="T76" s="128">
        <f aca="true" t="shared" si="32" ref="T76:T81">ROUND((E76+H76+N76+K76+Q76+S76)*D76,2)</f>
        <v>88074</v>
      </c>
      <c r="U76" s="129">
        <f aca="true" t="shared" si="33" ref="U76:U81">ROUND(SUM(T76*$W$7),2)</f>
        <v>1056888</v>
      </c>
      <c r="V76" s="130"/>
      <c r="W76" s="118" t="str">
        <f t="shared" si="0"/>
        <v>1</v>
      </c>
    </row>
    <row r="77" spans="1:23" ht="31.5" customHeight="1">
      <c r="A77" s="124">
        <v>2</v>
      </c>
      <c r="B77" s="125" t="s">
        <v>23</v>
      </c>
      <c r="C77" s="126">
        <v>2</v>
      </c>
      <c r="D77" s="127">
        <v>6</v>
      </c>
      <c r="E77" s="127">
        <v>2910</v>
      </c>
      <c r="F77" s="126"/>
      <c r="G77" s="126">
        <f t="shared" si="27"/>
        <v>0</v>
      </c>
      <c r="H77" s="128">
        <f>E77*F77/100</f>
        <v>0</v>
      </c>
      <c r="I77" s="126"/>
      <c r="J77" s="126">
        <f t="shared" si="28"/>
        <v>0</v>
      </c>
      <c r="K77" s="128">
        <f>ROUND(E77*I77/100,2)</f>
        <v>0</v>
      </c>
      <c r="L77" s="126">
        <v>0</v>
      </c>
      <c r="M77" s="126">
        <f t="shared" si="29"/>
        <v>0</v>
      </c>
      <c r="N77" s="128"/>
      <c r="O77" s="126">
        <v>13</v>
      </c>
      <c r="P77" s="126">
        <f t="shared" si="30"/>
        <v>2269.8</v>
      </c>
      <c r="Q77" s="128">
        <f>E77*O77/100</f>
        <v>378.3</v>
      </c>
      <c r="R77" s="128">
        <f t="shared" si="31"/>
        <v>18540</v>
      </c>
      <c r="S77" s="128">
        <f>MAX($W$1-ROUND(ROUND((E77+H77+N77+K77)*D77,2)/D77,2),0)</f>
        <v>3090</v>
      </c>
      <c r="T77" s="128">
        <f t="shared" si="32"/>
        <v>38269.8</v>
      </c>
      <c r="U77" s="129">
        <f t="shared" si="33"/>
        <v>459237.6</v>
      </c>
      <c r="V77" s="130"/>
      <c r="W77" s="118" t="str">
        <f t="shared" si="0"/>
        <v>2</v>
      </c>
    </row>
    <row r="78" spans="1:23" ht="30" customHeight="1">
      <c r="A78" s="124">
        <v>3</v>
      </c>
      <c r="B78" s="125" t="s">
        <v>22</v>
      </c>
      <c r="C78" s="126">
        <v>1</v>
      </c>
      <c r="D78" s="127">
        <v>2</v>
      </c>
      <c r="E78" s="127">
        <v>2670</v>
      </c>
      <c r="F78" s="126">
        <v>0</v>
      </c>
      <c r="G78" s="126">
        <f t="shared" si="27"/>
        <v>0</v>
      </c>
      <c r="H78" s="128"/>
      <c r="I78" s="126"/>
      <c r="J78" s="126">
        <f t="shared" si="28"/>
        <v>0</v>
      </c>
      <c r="K78" s="128"/>
      <c r="L78" s="126"/>
      <c r="M78" s="126">
        <f t="shared" si="29"/>
        <v>0</v>
      </c>
      <c r="N78" s="128"/>
      <c r="O78" s="126"/>
      <c r="P78" s="126">
        <f t="shared" si="30"/>
        <v>0</v>
      </c>
      <c r="Q78" s="128"/>
      <c r="R78" s="128">
        <f t="shared" si="31"/>
        <v>6660</v>
      </c>
      <c r="S78" s="128">
        <f>MAX($W$1-ROUND(ROUND((E78+H78+N78+K78)*D78,2)/D78,2),0)</f>
        <v>3330</v>
      </c>
      <c r="T78" s="128">
        <f t="shared" si="32"/>
        <v>12000</v>
      </c>
      <c r="U78" s="129">
        <f t="shared" si="33"/>
        <v>144000</v>
      </c>
      <c r="V78" s="130">
        <f>IF(D78&gt;0,IF((U78/D78-Q78)&gt;$W$1,0,($W$1-(U78/D78-Q78))*D78),0)</f>
        <v>0</v>
      </c>
      <c r="W78" s="118" t="str">
        <f t="shared" si="0"/>
        <v>3</v>
      </c>
    </row>
    <row r="79" spans="1:23" ht="44.25" customHeight="1">
      <c r="A79" s="124">
        <v>4</v>
      </c>
      <c r="B79" s="125" t="s">
        <v>85</v>
      </c>
      <c r="C79" s="126">
        <v>2</v>
      </c>
      <c r="D79" s="127">
        <v>4</v>
      </c>
      <c r="E79" s="127">
        <v>2910</v>
      </c>
      <c r="F79" s="126"/>
      <c r="G79" s="126">
        <f t="shared" si="27"/>
        <v>0</v>
      </c>
      <c r="H79" s="128"/>
      <c r="I79" s="126"/>
      <c r="J79" s="126">
        <f t="shared" si="28"/>
        <v>0</v>
      </c>
      <c r="K79" s="128"/>
      <c r="L79" s="126"/>
      <c r="M79" s="126">
        <f t="shared" si="29"/>
        <v>0</v>
      </c>
      <c r="N79" s="128"/>
      <c r="O79" s="126"/>
      <c r="P79" s="126">
        <f t="shared" si="30"/>
        <v>0</v>
      </c>
      <c r="Q79" s="128"/>
      <c r="R79" s="128">
        <f t="shared" si="31"/>
        <v>12360</v>
      </c>
      <c r="S79" s="128">
        <f>MAX($W$1-ROUND(ROUND((E79+H79+N79+K79)*D79,2)/D79,2),0)</f>
        <v>3090</v>
      </c>
      <c r="T79" s="128">
        <f t="shared" si="32"/>
        <v>24000</v>
      </c>
      <c r="U79" s="129">
        <f t="shared" si="33"/>
        <v>288000</v>
      </c>
      <c r="V79" s="130">
        <f>IF(D79&gt;0,IF((U79/D79-Q79)&gt;$W$1,0,($W$1-(U79/D79-Q79))*D79),0)</f>
        <v>0</v>
      </c>
      <c r="W79" s="118" t="str">
        <f t="shared" si="0"/>
        <v>4</v>
      </c>
    </row>
    <row r="80" spans="1:23" ht="32.25" customHeight="1">
      <c r="A80" s="124">
        <v>5</v>
      </c>
      <c r="B80" s="125" t="s">
        <v>86</v>
      </c>
      <c r="C80" s="126">
        <v>2</v>
      </c>
      <c r="D80" s="127">
        <v>3</v>
      </c>
      <c r="E80" s="127">
        <v>2910</v>
      </c>
      <c r="F80" s="126"/>
      <c r="G80" s="126">
        <f t="shared" si="27"/>
        <v>0</v>
      </c>
      <c r="H80" s="128"/>
      <c r="I80" s="126"/>
      <c r="J80" s="126">
        <f t="shared" si="28"/>
        <v>0</v>
      </c>
      <c r="K80" s="128"/>
      <c r="L80" s="126"/>
      <c r="M80" s="126">
        <f t="shared" si="29"/>
        <v>0</v>
      </c>
      <c r="N80" s="128"/>
      <c r="O80" s="126"/>
      <c r="P80" s="126">
        <f t="shared" si="30"/>
        <v>0</v>
      </c>
      <c r="Q80" s="128"/>
      <c r="R80" s="128">
        <f t="shared" si="31"/>
        <v>9270</v>
      </c>
      <c r="S80" s="128">
        <f>MAX($W$1-ROUND(ROUND((E80+H80+N80+K80)*D80,2)/D80,2),0)</f>
        <v>3090</v>
      </c>
      <c r="T80" s="128">
        <f t="shared" si="32"/>
        <v>18000</v>
      </c>
      <c r="U80" s="129">
        <f t="shared" si="33"/>
        <v>216000</v>
      </c>
      <c r="V80" s="130">
        <f>IF(D80&gt;0,IF((U80/D80-Q80)&gt;$W$1,0,($W$1-(U80/D80-Q80))*D80),0)</f>
        <v>0</v>
      </c>
      <c r="W80" s="118" t="str">
        <f aca="true" t="shared" si="34" ref="W80:W91">LEFT(A80,6)</f>
        <v>5</v>
      </c>
    </row>
    <row r="81" spans="1:23" ht="27" customHeight="1" thickBot="1">
      <c r="A81" s="134">
        <v>6</v>
      </c>
      <c r="B81" s="135" t="s">
        <v>62</v>
      </c>
      <c r="C81" s="136">
        <v>2</v>
      </c>
      <c r="D81" s="146">
        <v>1.5</v>
      </c>
      <c r="E81" s="137">
        <v>2910</v>
      </c>
      <c r="F81" s="136"/>
      <c r="G81" s="136">
        <f t="shared" si="27"/>
        <v>0</v>
      </c>
      <c r="H81" s="132"/>
      <c r="I81" s="136"/>
      <c r="J81" s="136">
        <f t="shared" si="28"/>
        <v>0</v>
      </c>
      <c r="K81" s="132"/>
      <c r="L81" s="136"/>
      <c r="M81" s="136">
        <f t="shared" si="29"/>
        <v>0</v>
      </c>
      <c r="N81" s="132"/>
      <c r="O81" s="136"/>
      <c r="P81" s="136">
        <f t="shared" si="30"/>
        <v>0</v>
      </c>
      <c r="Q81" s="132"/>
      <c r="R81" s="128">
        <f t="shared" si="31"/>
        <v>4635</v>
      </c>
      <c r="S81" s="128">
        <f>MAX($W$1-ROUND(ROUND((E81+H81+N81+K81+Q81)*D81,2)/D81,2),0)</f>
        <v>3090</v>
      </c>
      <c r="T81" s="128">
        <f t="shared" si="32"/>
        <v>9000</v>
      </c>
      <c r="U81" s="138">
        <f t="shared" si="33"/>
        <v>108000</v>
      </c>
      <c r="V81" s="130">
        <f>IF(D81&gt;0,IF((U81/D81-Q81)&gt;$W$1,0,($W$1-(U81/D81-Q81))*D81),0)</f>
        <v>0</v>
      </c>
      <c r="W81" s="118" t="str">
        <f t="shared" si="34"/>
        <v>6</v>
      </c>
    </row>
    <row r="82" spans="1:23" ht="30" customHeight="1" thickBot="1">
      <c r="A82" s="303" t="s">
        <v>56</v>
      </c>
      <c r="B82" s="304"/>
      <c r="C82" s="139" t="s">
        <v>15</v>
      </c>
      <c r="D82" s="143">
        <f>SUM(D76:D81)</f>
        <v>30.5</v>
      </c>
      <c r="E82" s="141">
        <f>T82-H82-N82-K82-Q82-S82</f>
        <v>88275</v>
      </c>
      <c r="F82" s="139" t="s">
        <v>15</v>
      </c>
      <c r="G82" s="139"/>
      <c r="H82" s="141">
        <f>ROUND(SUM(G76:G81),2)</f>
        <v>0</v>
      </c>
      <c r="I82" s="139" t="s">
        <v>15</v>
      </c>
      <c r="J82" s="139"/>
      <c r="K82" s="141">
        <f>ROUND(SUM(J76:J81),2)</f>
        <v>0</v>
      </c>
      <c r="L82" s="139" t="s">
        <v>15</v>
      </c>
      <c r="M82" s="139"/>
      <c r="N82" s="141">
        <f>ROUND(SUM(M76:M81),2)</f>
        <v>0</v>
      </c>
      <c r="O82" s="139" t="s">
        <v>15</v>
      </c>
      <c r="P82" s="139"/>
      <c r="Q82" s="141">
        <f>ROUND(SUM(P76:P81),2)</f>
        <v>6343.8</v>
      </c>
      <c r="R82" s="141"/>
      <c r="S82" s="141">
        <f>ROUND(SUM(R76:R81),2)</f>
        <v>94725</v>
      </c>
      <c r="T82" s="141">
        <f>SUM(T76:T81)</f>
        <v>189343.8</v>
      </c>
      <c r="U82" s="142">
        <f>SUM(U76:U81)</f>
        <v>2272125.6</v>
      </c>
      <c r="W82" s="118" t="str">
        <f t="shared" si="34"/>
        <v>Всього</v>
      </c>
    </row>
    <row r="83" spans="1:23" ht="30" customHeight="1" thickBot="1">
      <c r="A83" s="303" t="s">
        <v>24</v>
      </c>
      <c r="B83" s="304"/>
      <c r="C83" s="139" t="s">
        <v>96</v>
      </c>
      <c r="D83" s="141">
        <f>SUMIF($W$15:$W$82,"Всього",D15:D82)</f>
        <v>101.75</v>
      </c>
      <c r="E83" s="141">
        <f>T83-H83-N83-K83-Q83-S83</f>
        <v>494551.01</v>
      </c>
      <c r="F83" s="139" t="s">
        <v>15</v>
      </c>
      <c r="G83" s="139"/>
      <c r="H83" s="141">
        <f>SUMIF($W$15:$W$82,"Всього",H15:HH82)</f>
        <v>57998.86</v>
      </c>
      <c r="I83" s="139" t="s">
        <v>15</v>
      </c>
      <c r="J83" s="139"/>
      <c r="K83" s="141">
        <f>SUMIF($W$15:$W$82,"Всього",K15:HK82)</f>
        <v>61196.520000000004</v>
      </c>
      <c r="L83" s="139" t="s">
        <v>15</v>
      </c>
      <c r="M83" s="139"/>
      <c r="N83" s="141">
        <f>SUMIF($W$15:$W$82,"Всього",N15:HK82)</f>
        <v>10907.53</v>
      </c>
      <c r="O83" s="139" t="s">
        <v>15</v>
      </c>
      <c r="P83" s="139"/>
      <c r="Q83" s="141">
        <f>SUMIF($W$15:$W$82,"Всього",Q15:HQ82)</f>
        <v>32557.319999999996</v>
      </c>
      <c r="R83" s="141"/>
      <c r="S83" s="141">
        <f>SUMIF($W$15:$W$82,"Всього",S15:HR82)</f>
        <v>145236</v>
      </c>
      <c r="T83" s="141">
        <f>SUMIF($W$15:$W$82,"Всього",T15:T82)</f>
        <v>802447.24</v>
      </c>
      <c r="U83" s="142">
        <f>SUMIF($W$15:$W$82,"Всього",U15:HS82)</f>
        <v>9629366.879999999</v>
      </c>
      <c r="V83" s="130"/>
      <c r="W83" s="118" t="str">
        <f t="shared" si="34"/>
        <v>Разом </v>
      </c>
    </row>
    <row r="84" spans="1:23" ht="30" customHeight="1">
      <c r="A84" s="305" t="s">
        <v>108</v>
      </c>
      <c r="B84" s="306"/>
      <c r="C84" s="306"/>
      <c r="D84" s="147">
        <v>109.92</v>
      </c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7">
        <v>911380.79</v>
      </c>
      <c r="U84" s="149">
        <f>T84*12</f>
        <v>10936569.48</v>
      </c>
      <c r="V84" s="130"/>
      <c r="W84" s="118" t="str">
        <f t="shared" si="34"/>
        <v>1.5.  </v>
      </c>
    </row>
    <row r="85" spans="1:23" ht="30" customHeight="1">
      <c r="A85" s="283" t="s">
        <v>109</v>
      </c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144"/>
      <c r="S85" s="144"/>
      <c r="T85" s="128">
        <v>165758.15</v>
      </c>
      <c r="U85" s="149">
        <f>T85*12</f>
        <v>1989097.7999999998</v>
      </c>
      <c r="V85" s="130"/>
      <c r="W85" s="118" t="str">
        <f t="shared" si="34"/>
        <v>1.6. Н</v>
      </c>
    </row>
    <row r="86" spans="1:23" ht="27.75" customHeight="1">
      <c r="A86" s="283" t="s">
        <v>110</v>
      </c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144"/>
      <c r="S86" s="144"/>
      <c r="T86" s="128">
        <v>188256.69</v>
      </c>
      <c r="U86" s="149">
        <f>T86*12</f>
        <v>2259080.2800000003</v>
      </c>
      <c r="V86" s="130"/>
      <c r="W86" s="118" t="str">
        <f t="shared" si="34"/>
        <v>1.7. Н</v>
      </c>
    </row>
    <row r="87" spans="1:23" ht="24" customHeight="1">
      <c r="A87" s="307" t="s">
        <v>111</v>
      </c>
      <c r="B87" s="308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308"/>
      <c r="U87" s="149">
        <v>675091.25</v>
      </c>
      <c r="V87" s="130"/>
      <c r="W87" s="118" t="str">
        <f t="shared" si="34"/>
        <v>1.8.Ма</v>
      </c>
    </row>
    <row r="88" spans="1:23" ht="24" customHeight="1">
      <c r="A88" s="307" t="s">
        <v>127</v>
      </c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149">
        <v>10519</v>
      </c>
      <c r="V88" s="130"/>
      <c r="W88" s="118" t="str">
        <f>LEFT(A88,6)</f>
        <v>1.9. М</v>
      </c>
    </row>
    <row r="89" spans="1:23" ht="24.75" customHeight="1">
      <c r="A89" s="307" t="s">
        <v>128</v>
      </c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149"/>
      <c r="V89" s="130"/>
      <c r="W89" s="118" t="str">
        <f t="shared" si="34"/>
        <v>1.10. </v>
      </c>
    </row>
    <row r="90" spans="1:23" ht="23.25" customHeight="1">
      <c r="A90" s="295" t="s">
        <v>129</v>
      </c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7"/>
      <c r="U90" s="149">
        <f>U91-SUM(U83:U88)</f>
        <v>667975.3099999987</v>
      </c>
      <c r="V90" s="130"/>
      <c r="W90" s="118" t="str">
        <f t="shared" si="34"/>
        <v>1.12  </v>
      </c>
    </row>
    <row r="91" spans="1:23" ht="29.25" customHeight="1">
      <c r="A91" s="309" t="s">
        <v>25</v>
      </c>
      <c r="B91" s="310"/>
      <c r="C91" s="151" t="s">
        <v>96</v>
      </c>
      <c r="D91" s="152">
        <f>D84+D83</f>
        <v>211.67000000000002</v>
      </c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28">
        <f>SUM(T83:T86)</f>
        <v>2067842.8699999999</v>
      </c>
      <c r="U91" s="129">
        <v>26167700</v>
      </c>
      <c r="V91" s="130"/>
      <c r="W91" s="118" t="str">
        <f t="shared" si="34"/>
        <v>Загаль</v>
      </c>
    </row>
    <row r="92" spans="1:23" ht="26.25" customHeight="1" thickBot="1">
      <c r="A92" s="154" t="s">
        <v>26</v>
      </c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6" t="s">
        <v>158</v>
      </c>
      <c r="U92" s="157"/>
      <c r="V92" s="112" t="s">
        <v>3</v>
      </c>
      <c r="W92" s="4">
        <v>8</v>
      </c>
    </row>
    <row r="93" spans="1:22" ht="36.75" customHeight="1" thickBot="1">
      <c r="A93" s="158" t="s">
        <v>130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60"/>
      <c r="V93" s="130"/>
    </row>
    <row r="94" spans="1:23" ht="31.5" customHeight="1">
      <c r="A94" s="269" t="s">
        <v>125</v>
      </c>
      <c r="B94" s="270"/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1"/>
      <c r="V94" s="130"/>
      <c r="W94" s="118"/>
    </row>
    <row r="95" spans="1:23" ht="30.75" customHeight="1">
      <c r="A95" s="124">
        <v>1</v>
      </c>
      <c r="B95" s="125" t="s">
        <v>10</v>
      </c>
      <c r="C95" s="126">
        <v>18</v>
      </c>
      <c r="D95" s="127"/>
      <c r="E95" s="128">
        <v>9428.1</v>
      </c>
      <c r="F95" s="126"/>
      <c r="G95" s="126">
        <f>H95*$D95</f>
        <v>0</v>
      </c>
      <c r="H95" s="128">
        <v>0</v>
      </c>
      <c r="I95" s="126">
        <v>0</v>
      </c>
      <c r="J95" s="126">
        <f>K95*$D95</f>
        <v>0</v>
      </c>
      <c r="K95" s="128">
        <f>ROUND(E95*I95/100*D95,2)</f>
        <v>0</v>
      </c>
      <c r="L95" s="126">
        <v>35</v>
      </c>
      <c r="M95" s="128">
        <f>N95</f>
        <v>3299.84</v>
      </c>
      <c r="N95" s="128">
        <f>ROUND(E95*L95/100,2)</f>
        <v>3299.84</v>
      </c>
      <c r="O95" s="126">
        <v>0</v>
      </c>
      <c r="P95" s="126">
        <f>Q95*D95</f>
        <v>0</v>
      </c>
      <c r="Q95" s="128">
        <f>E95*O95/100</f>
        <v>0</v>
      </c>
      <c r="R95" s="128">
        <f>S95*D95</f>
        <v>0</v>
      </c>
      <c r="S95" s="128"/>
      <c r="T95" s="128">
        <f>ROUND((H95+N95+K95+Q95),2)</f>
        <v>3299.84</v>
      </c>
      <c r="U95" s="129">
        <f>ROUND(T95*$W$92,2)</f>
        <v>26398.72</v>
      </c>
      <c r="V95" s="130">
        <f aca="true" t="shared" si="35" ref="V95:V115">IF(D95&gt;0,IF((U95/D95-Q95)&gt;$W$1,0,($W$1-(U95/D95-Q95))*D95),0)</f>
        <v>0</v>
      </c>
      <c r="W95" s="118" t="str">
        <f aca="true" t="shared" si="36" ref="W95:W100">LEFT(A95,6)</f>
        <v>1</v>
      </c>
    </row>
    <row r="96" spans="1:23" ht="45.75" customHeight="1">
      <c r="A96" s="124">
        <v>2</v>
      </c>
      <c r="B96" s="125" t="s">
        <v>99</v>
      </c>
      <c r="C96" s="131">
        <v>0.95</v>
      </c>
      <c r="D96" s="127"/>
      <c r="E96" s="128">
        <f>E95*0.95</f>
        <v>8956.695</v>
      </c>
      <c r="F96" s="126"/>
      <c r="G96" s="126">
        <f>H96*$D96</f>
        <v>0</v>
      </c>
      <c r="H96" s="128">
        <v>0</v>
      </c>
      <c r="I96" s="126">
        <v>0</v>
      </c>
      <c r="J96" s="126">
        <f>K96*$D96</f>
        <v>0</v>
      </c>
      <c r="K96" s="128">
        <f>ROUND(E96*I96/100*D96,2)</f>
        <v>0</v>
      </c>
      <c r="L96" s="126">
        <v>35</v>
      </c>
      <c r="M96" s="128">
        <f>N96</f>
        <v>3134.84</v>
      </c>
      <c r="N96" s="128">
        <f>ROUND(E96*L96/100,2)</f>
        <v>3134.84</v>
      </c>
      <c r="O96" s="126">
        <v>0</v>
      </c>
      <c r="P96" s="126">
        <f>Q96*D96</f>
        <v>0</v>
      </c>
      <c r="Q96" s="128">
        <f>E96*O96/100</f>
        <v>0</v>
      </c>
      <c r="R96" s="128">
        <f>S96*D96</f>
        <v>0</v>
      </c>
      <c r="S96" s="128"/>
      <c r="T96" s="128">
        <f>ROUND((H96+N96+K96+Q96),2)</f>
        <v>3134.84</v>
      </c>
      <c r="U96" s="129">
        <f>ROUND(T96*$W$92,2)</f>
        <v>25078.72</v>
      </c>
      <c r="V96" s="130">
        <f t="shared" si="35"/>
        <v>0</v>
      </c>
      <c r="W96" s="118" t="str">
        <f t="shared" si="36"/>
        <v>2</v>
      </c>
    </row>
    <row r="97" spans="1:23" ht="59.25" customHeight="1">
      <c r="A97" s="124">
        <v>3</v>
      </c>
      <c r="B97" s="125" t="s">
        <v>98</v>
      </c>
      <c r="C97" s="131">
        <v>0.9</v>
      </c>
      <c r="D97" s="127"/>
      <c r="E97" s="128">
        <f>E95*C97</f>
        <v>8485.29</v>
      </c>
      <c r="F97" s="126"/>
      <c r="G97" s="126">
        <f>H97*$D97</f>
        <v>0</v>
      </c>
      <c r="H97" s="128">
        <v>0</v>
      </c>
      <c r="I97" s="126">
        <v>0</v>
      </c>
      <c r="J97" s="126">
        <f>K97*$D97</f>
        <v>0</v>
      </c>
      <c r="K97" s="128">
        <f>ROUND(E97*I97/100*D97,2)</f>
        <v>0</v>
      </c>
      <c r="L97" s="126">
        <v>35</v>
      </c>
      <c r="M97" s="128">
        <f>N97</f>
        <v>2969.85</v>
      </c>
      <c r="N97" s="128">
        <f>ROUND(E97*L97/100,2)</f>
        <v>2969.85</v>
      </c>
      <c r="O97" s="126">
        <v>0</v>
      </c>
      <c r="P97" s="126">
        <f>Q97*D97</f>
        <v>0</v>
      </c>
      <c r="Q97" s="128">
        <f>E97*O97/100</f>
        <v>0</v>
      </c>
      <c r="R97" s="128">
        <f>S97*D97</f>
        <v>0</v>
      </c>
      <c r="S97" s="128"/>
      <c r="T97" s="128">
        <f>ROUND((H97+N97+K97+Q97),2)</f>
        <v>2969.85</v>
      </c>
      <c r="U97" s="129">
        <f>ROUND(T97*$W$92,2)</f>
        <v>23758.8</v>
      </c>
      <c r="V97" s="130">
        <f t="shared" si="35"/>
        <v>0</v>
      </c>
      <c r="W97" s="118" t="str">
        <f t="shared" si="36"/>
        <v>3</v>
      </c>
    </row>
    <row r="98" spans="1:23" ht="62.25" customHeight="1" thickBot="1">
      <c r="A98" s="124">
        <v>4</v>
      </c>
      <c r="B98" s="125" t="s">
        <v>156</v>
      </c>
      <c r="C98" s="131">
        <v>0.9</v>
      </c>
      <c r="D98" s="132">
        <v>0.25</v>
      </c>
      <c r="E98" s="146">
        <v>8485.29</v>
      </c>
      <c r="F98" s="136">
        <v>20</v>
      </c>
      <c r="G98" s="136">
        <f>H98*$D98</f>
        <v>424.26450000000006</v>
      </c>
      <c r="H98" s="128">
        <f>E98*F98/100</f>
        <v>1697.0580000000002</v>
      </c>
      <c r="I98" s="136">
        <v>25</v>
      </c>
      <c r="J98" s="136">
        <f>K98*$D98</f>
        <v>530.33</v>
      </c>
      <c r="K98" s="132">
        <f>ROUND(E98*I98/100,2)</f>
        <v>2121.32</v>
      </c>
      <c r="L98" s="136">
        <v>35</v>
      </c>
      <c r="M98" s="132">
        <f>N98</f>
        <v>742.46</v>
      </c>
      <c r="N98" s="132">
        <f>ROUND(E98*L98*D98/100,2)</f>
        <v>742.46</v>
      </c>
      <c r="O98" s="136"/>
      <c r="P98" s="132">
        <f>Q98</f>
        <v>0</v>
      </c>
      <c r="Q98" s="132">
        <f>E98*O98*D98/100</f>
        <v>0</v>
      </c>
      <c r="R98" s="161">
        <f>S98</f>
        <v>0</v>
      </c>
      <c r="S98" s="128">
        <f>MAX($W$1-ROUND(ROUND((E98+H98+N98+K98)*D98,2)/D98,2),0)*D98</f>
        <v>0</v>
      </c>
      <c r="T98" s="132">
        <f>ROUND((E98+H98+K98)*D98+N98+Q98+S98,2)</f>
        <v>3818.38</v>
      </c>
      <c r="U98" s="138">
        <f>ROUND(T98*$W$92,2)</f>
        <v>30547.04</v>
      </c>
      <c r="V98" s="130">
        <f t="shared" si="35"/>
        <v>0</v>
      </c>
      <c r="W98" s="118" t="str">
        <f t="shared" si="36"/>
        <v>4</v>
      </c>
    </row>
    <row r="99" spans="1:23" ht="31.5" customHeight="1" thickBot="1">
      <c r="A99" s="303" t="s">
        <v>27</v>
      </c>
      <c r="B99" s="304"/>
      <c r="C99" s="139" t="s">
        <v>96</v>
      </c>
      <c r="D99" s="140">
        <f>SUM(D95:D98)</f>
        <v>0.25</v>
      </c>
      <c r="E99" s="141">
        <f>T99-H99-N99-K99-Q99</f>
        <v>2121.325499999999</v>
      </c>
      <c r="F99" s="139" t="s">
        <v>15</v>
      </c>
      <c r="G99" s="139"/>
      <c r="H99" s="141">
        <f>SUM(G95:G98)</f>
        <v>424.26450000000006</v>
      </c>
      <c r="I99" s="139" t="s">
        <v>15</v>
      </c>
      <c r="J99" s="139"/>
      <c r="K99" s="141">
        <f>SUM(J95:J98)</f>
        <v>530.33</v>
      </c>
      <c r="L99" s="139" t="s">
        <v>15</v>
      </c>
      <c r="M99" s="139"/>
      <c r="N99" s="141">
        <f>SUM(M95:M98)</f>
        <v>10146.990000000002</v>
      </c>
      <c r="O99" s="139"/>
      <c r="P99" s="139"/>
      <c r="Q99" s="141">
        <f>SUM(P95:P98)</f>
        <v>0</v>
      </c>
      <c r="R99" s="141"/>
      <c r="S99" s="141">
        <f>SUM(R95:R98)</f>
        <v>0</v>
      </c>
      <c r="T99" s="141">
        <f>SUM(T94:T98)</f>
        <v>13222.91</v>
      </c>
      <c r="U99" s="142">
        <f>SUM(U94:U98)</f>
        <v>105783.28</v>
      </c>
      <c r="V99" s="130">
        <f t="shared" si="35"/>
        <v>0</v>
      </c>
      <c r="W99" s="118" t="str">
        <f t="shared" si="36"/>
        <v>Всього</v>
      </c>
    </row>
    <row r="100" spans="1:23" ht="27.75" customHeight="1">
      <c r="A100" s="269" t="s">
        <v>87</v>
      </c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1"/>
      <c r="V100" s="130">
        <f t="shared" si="35"/>
        <v>0</v>
      </c>
      <c r="W100" s="118" t="str">
        <f t="shared" si="36"/>
        <v>2.1.2 </v>
      </c>
    </row>
    <row r="101" spans="1:23" ht="59.25" customHeight="1">
      <c r="A101" s="124">
        <v>1</v>
      </c>
      <c r="B101" s="162" t="s">
        <v>77</v>
      </c>
      <c r="C101" s="131">
        <v>0.9</v>
      </c>
      <c r="D101" s="126"/>
      <c r="E101" s="126">
        <v>7713.9</v>
      </c>
      <c r="F101" s="126"/>
      <c r="G101" s="126">
        <f aca="true" t="shared" si="37" ref="G101:G110">H101*$D101</f>
        <v>0</v>
      </c>
      <c r="H101" s="126"/>
      <c r="I101" s="126"/>
      <c r="J101" s="126">
        <f aca="true" t="shared" si="38" ref="J101:J110">K101*$D101</f>
        <v>0</v>
      </c>
      <c r="K101" s="126"/>
      <c r="L101" s="126">
        <v>35</v>
      </c>
      <c r="M101" s="128">
        <f aca="true" t="shared" si="39" ref="M101:M107">N101</f>
        <v>2699.87</v>
      </c>
      <c r="N101" s="128">
        <f aca="true" t="shared" si="40" ref="N101:N107">ROUND(E101*L101/100,2)</f>
        <v>2699.87</v>
      </c>
      <c r="O101" s="126"/>
      <c r="P101" s="126">
        <f aca="true" t="shared" si="41" ref="P101:P110">Q101*D101</f>
        <v>0</v>
      </c>
      <c r="Q101" s="126"/>
      <c r="R101" s="128">
        <f aca="true" t="shared" si="42" ref="R101:R110">S101*D101</f>
        <v>0</v>
      </c>
      <c r="S101" s="126"/>
      <c r="T101" s="128">
        <f aca="true" t="shared" si="43" ref="T101:T107">ROUND((H101+N101+K101+Q101),2)</f>
        <v>2699.87</v>
      </c>
      <c r="U101" s="129">
        <f aca="true" t="shared" si="44" ref="U101:U110">ROUND(T101*$W$92,2)</f>
        <v>21598.96</v>
      </c>
      <c r="V101" s="130">
        <f t="shared" si="35"/>
        <v>0</v>
      </c>
      <c r="W101" s="118"/>
    </row>
    <row r="102" spans="1:23" ht="25.5" customHeight="1">
      <c r="A102" s="124">
        <v>2</v>
      </c>
      <c r="B102" s="162" t="s">
        <v>18</v>
      </c>
      <c r="C102" s="131">
        <v>0.9</v>
      </c>
      <c r="D102" s="126"/>
      <c r="E102" s="126">
        <v>7713.9</v>
      </c>
      <c r="F102" s="126"/>
      <c r="G102" s="126">
        <f t="shared" si="37"/>
        <v>0</v>
      </c>
      <c r="H102" s="126"/>
      <c r="I102" s="126"/>
      <c r="J102" s="126">
        <f t="shared" si="38"/>
        <v>0</v>
      </c>
      <c r="K102" s="126"/>
      <c r="L102" s="126">
        <v>35</v>
      </c>
      <c r="M102" s="128">
        <f t="shared" si="39"/>
        <v>2699.87</v>
      </c>
      <c r="N102" s="128">
        <f t="shared" si="40"/>
        <v>2699.87</v>
      </c>
      <c r="O102" s="126"/>
      <c r="P102" s="126">
        <f t="shared" si="41"/>
        <v>0</v>
      </c>
      <c r="Q102" s="126"/>
      <c r="R102" s="128">
        <f t="shared" si="42"/>
        <v>0</v>
      </c>
      <c r="S102" s="126"/>
      <c r="T102" s="128">
        <f t="shared" si="43"/>
        <v>2699.87</v>
      </c>
      <c r="U102" s="129">
        <f t="shared" si="44"/>
        <v>21598.96</v>
      </c>
      <c r="V102" s="130">
        <f t="shared" si="35"/>
        <v>0</v>
      </c>
      <c r="W102" s="118"/>
    </row>
    <row r="103" spans="1:23" ht="30.75" customHeight="1">
      <c r="A103" s="124">
        <v>3</v>
      </c>
      <c r="B103" s="162" t="s">
        <v>19</v>
      </c>
      <c r="C103" s="127">
        <v>10</v>
      </c>
      <c r="D103" s="126"/>
      <c r="E103" s="126">
        <v>4859</v>
      </c>
      <c r="F103" s="126"/>
      <c r="G103" s="126">
        <f t="shared" si="37"/>
        <v>0</v>
      </c>
      <c r="H103" s="126"/>
      <c r="I103" s="126"/>
      <c r="J103" s="126">
        <f t="shared" si="38"/>
        <v>0</v>
      </c>
      <c r="K103" s="126"/>
      <c r="L103" s="126">
        <v>35</v>
      </c>
      <c r="M103" s="128">
        <f t="shared" si="39"/>
        <v>1700.65</v>
      </c>
      <c r="N103" s="128">
        <f t="shared" si="40"/>
        <v>1700.65</v>
      </c>
      <c r="O103" s="126"/>
      <c r="P103" s="126">
        <f t="shared" si="41"/>
        <v>0</v>
      </c>
      <c r="Q103" s="126"/>
      <c r="R103" s="128">
        <f t="shared" si="42"/>
        <v>0</v>
      </c>
      <c r="S103" s="126"/>
      <c r="T103" s="128">
        <f t="shared" si="43"/>
        <v>1700.65</v>
      </c>
      <c r="U103" s="129">
        <f t="shared" si="44"/>
        <v>13605.2</v>
      </c>
      <c r="V103" s="130">
        <f t="shared" si="35"/>
        <v>0</v>
      </c>
      <c r="W103" s="118"/>
    </row>
    <row r="104" spans="1:23" ht="33" customHeight="1">
      <c r="A104" s="124">
        <v>4</v>
      </c>
      <c r="B104" s="162" t="s">
        <v>19</v>
      </c>
      <c r="C104" s="127">
        <v>10</v>
      </c>
      <c r="D104" s="126"/>
      <c r="E104" s="126">
        <v>4859</v>
      </c>
      <c r="F104" s="126"/>
      <c r="G104" s="126">
        <f t="shared" si="37"/>
        <v>0</v>
      </c>
      <c r="H104" s="126"/>
      <c r="I104" s="126"/>
      <c r="J104" s="126">
        <f t="shared" si="38"/>
        <v>0</v>
      </c>
      <c r="K104" s="126"/>
      <c r="L104" s="126">
        <v>35</v>
      </c>
      <c r="M104" s="128">
        <f t="shared" si="39"/>
        <v>1700.65</v>
      </c>
      <c r="N104" s="128">
        <f t="shared" si="40"/>
        <v>1700.65</v>
      </c>
      <c r="O104" s="126"/>
      <c r="P104" s="126">
        <f t="shared" si="41"/>
        <v>0</v>
      </c>
      <c r="Q104" s="126"/>
      <c r="R104" s="128">
        <f t="shared" si="42"/>
        <v>0</v>
      </c>
      <c r="S104" s="126"/>
      <c r="T104" s="128">
        <f t="shared" si="43"/>
        <v>1700.65</v>
      </c>
      <c r="U104" s="129">
        <f t="shared" si="44"/>
        <v>13605.2</v>
      </c>
      <c r="V104" s="130">
        <f t="shared" si="35"/>
        <v>0</v>
      </c>
      <c r="W104" s="118"/>
    </row>
    <row r="105" spans="1:23" ht="28.5" customHeight="1">
      <c r="A105" s="124">
        <v>5</v>
      </c>
      <c r="B105" s="162" t="s">
        <v>19</v>
      </c>
      <c r="C105" s="127">
        <v>10</v>
      </c>
      <c r="D105" s="126"/>
      <c r="E105" s="126">
        <v>4859</v>
      </c>
      <c r="F105" s="126"/>
      <c r="G105" s="126">
        <f t="shared" si="37"/>
        <v>0</v>
      </c>
      <c r="H105" s="126"/>
      <c r="I105" s="126"/>
      <c r="J105" s="126">
        <f t="shared" si="38"/>
        <v>0</v>
      </c>
      <c r="K105" s="126"/>
      <c r="L105" s="126">
        <v>35</v>
      </c>
      <c r="M105" s="128">
        <f t="shared" si="39"/>
        <v>1700.65</v>
      </c>
      <c r="N105" s="128">
        <f t="shared" si="40"/>
        <v>1700.65</v>
      </c>
      <c r="O105" s="126"/>
      <c r="P105" s="126">
        <f t="shared" si="41"/>
        <v>0</v>
      </c>
      <c r="Q105" s="126"/>
      <c r="R105" s="128">
        <f t="shared" si="42"/>
        <v>0</v>
      </c>
      <c r="S105" s="126"/>
      <c r="T105" s="128">
        <f t="shared" si="43"/>
        <v>1700.65</v>
      </c>
      <c r="U105" s="129">
        <f t="shared" si="44"/>
        <v>13605.2</v>
      </c>
      <c r="V105" s="130">
        <f t="shared" si="35"/>
        <v>0</v>
      </c>
      <c r="W105" s="118"/>
    </row>
    <row r="106" spans="1:23" ht="33" customHeight="1">
      <c r="A106" s="124">
        <v>6</v>
      </c>
      <c r="B106" s="162" t="s">
        <v>69</v>
      </c>
      <c r="C106" s="127">
        <v>10</v>
      </c>
      <c r="D106" s="126"/>
      <c r="E106" s="126">
        <v>4859</v>
      </c>
      <c r="F106" s="126"/>
      <c r="G106" s="126">
        <f t="shared" si="37"/>
        <v>0</v>
      </c>
      <c r="H106" s="126"/>
      <c r="I106" s="126"/>
      <c r="J106" s="126">
        <f t="shared" si="38"/>
        <v>0</v>
      </c>
      <c r="K106" s="126"/>
      <c r="L106" s="126">
        <v>35</v>
      </c>
      <c r="M106" s="128">
        <f t="shared" si="39"/>
        <v>1700.65</v>
      </c>
      <c r="N106" s="128">
        <f t="shared" si="40"/>
        <v>1700.65</v>
      </c>
      <c r="O106" s="126"/>
      <c r="P106" s="126">
        <f t="shared" si="41"/>
        <v>0</v>
      </c>
      <c r="Q106" s="126"/>
      <c r="R106" s="128">
        <f t="shared" si="42"/>
        <v>0</v>
      </c>
      <c r="S106" s="126"/>
      <c r="T106" s="128">
        <f t="shared" si="43"/>
        <v>1700.65</v>
      </c>
      <c r="U106" s="129">
        <f t="shared" si="44"/>
        <v>13605.2</v>
      </c>
      <c r="V106" s="130">
        <f t="shared" si="35"/>
        <v>0</v>
      </c>
      <c r="W106" s="118"/>
    </row>
    <row r="107" spans="1:23" ht="26.25" customHeight="1">
      <c r="A107" s="124">
        <v>7</v>
      </c>
      <c r="B107" s="162" t="s">
        <v>69</v>
      </c>
      <c r="C107" s="127">
        <v>9</v>
      </c>
      <c r="D107" s="126"/>
      <c r="E107" s="126">
        <v>4619</v>
      </c>
      <c r="F107" s="126"/>
      <c r="G107" s="126">
        <f t="shared" si="37"/>
        <v>0</v>
      </c>
      <c r="H107" s="126"/>
      <c r="I107" s="126"/>
      <c r="J107" s="126">
        <f t="shared" si="38"/>
        <v>0</v>
      </c>
      <c r="K107" s="126"/>
      <c r="L107" s="126">
        <v>35</v>
      </c>
      <c r="M107" s="128">
        <f t="shared" si="39"/>
        <v>1616.65</v>
      </c>
      <c r="N107" s="128">
        <f t="shared" si="40"/>
        <v>1616.65</v>
      </c>
      <c r="O107" s="126"/>
      <c r="P107" s="126">
        <f t="shared" si="41"/>
        <v>0</v>
      </c>
      <c r="Q107" s="126"/>
      <c r="R107" s="128">
        <f t="shared" si="42"/>
        <v>0</v>
      </c>
      <c r="S107" s="126"/>
      <c r="T107" s="128">
        <f t="shared" si="43"/>
        <v>1616.65</v>
      </c>
      <c r="U107" s="129">
        <f t="shared" si="44"/>
        <v>12933.2</v>
      </c>
      <c r="V107" s="130">
        <f t="shared" si="35"/>
        <v>0</v>
      </c>
      <c r="W107" s="118"/>
    </row>
    <row r="108" spans="1:23" ht="30" customHeight="1">
      <c r="A108" s="124">
        <v>8</v>
      </c>
      <c r="B108" s="162" t="s">
        <v>89</v>
      </c>
      <c r="C108" s="127">
        <v>10</v>
      </c>
      <c r="D108" s="126">
        <v>1</v>
      </c>
      <c r="E108" s="126">
        <v>4859</v>
      </c>
      <c r="F108" s="126"/>
      <c r="G108" s="126">
        <f t="shared" si="37"/>
        <v>0</v>
      </c>
      <c r="H108" s="126"/>
      <c r="I108" s="126"/>
      <c r="J108" s="126">
        <f t="shared" si="38"/>
        <v>0</v>
      </c>
      <c r="K108" s="126"/>
      <c r="L108" s="126">
        <v>50</v>
      </c>
      <c r="M108" s="126">
        <f>N108*D108</f>
        <v>2429.5</v>
      </c>
      <c r="N108" s="128">
        <f>ROUND(E108*L108/100,2)</f>
        <v>2429.5</v>
      </c>
      <c r="O108" s="126"/>
      <c r="P108" s="126">
        <f t="shared" si="41"/>
        <v>0</v>
      </c>
      <c r="Q108" s="126"/>
      <c r="R108" s="128">
        <f t="shared" si="42"/>
        <v>0</v>
      </c>
      <c r="S108" s="128">
        <f>MAX($W$1-ROUND(ROUND((E108+H108+N108+K108+Q108)*D108,2)/D108,2),0)</f>
        <v>0</v>
      </c>
      <c r="T108" s="128">
        <f>ROUND((E108+H108+N108)*D108,2)</f>
        <v>7288.5</v>
      </c>
      <c r="U108" s="129">
        <f t="shared" si="44"/>
        <v>58308</v>
      </c>
      <c r="V108" s="130">
        <f t="shared" si="35"/>
        <v>0</v>
      </c>
      <c r="W108" s="118"/>
    </row>
    <row r="109" spans="1:23" ht="41.25" customHeight="1">
      <c r="A109" s="124">
        <v>9</v>
      </c>
      <c r="B109" s="162" t="s">
        <v>88</v>
      </c>
      <c r="C109" s="126">
        <v>7</v>
      </c>
      <c r="D109" s="126">
        <v>0.5</v>
      </c>
      <c r="E109" s="126">
        <v>4112</v>
      </c>
      <c r="F109" s="126"/>
      <c r="G109" s="126">
        <f t="shared" si="37"/>
        <v>0</v>
      </c>
      <c r="H109" s="126"/>
      <c r="I109" s="126"/>
      <c r="J109" s="126">
        <f t="shared" si="38"/>
        <v>0</v>
      </c>
      <c r="K109" s="126"/>
      <c r="L109" s="126"/>
      <c r="M109" s="126">
        <f>N109*D109</f>
        <v>0</v>
      </c>
      <c r="N109" s="126"/>
      <c r="O109" s="126"/>
      <c r="P109" s="126">
        <f t="shared" si="41"/>
        <v>0</v>
      </c>
      <c r="Q109" s="132">
        <f>E109*O109*D109/100</f>
        <v>0</v>
      </c>
      <c r="R109" s="161">
        <f>S109</f>
        <v>944</v>
      </c>
      <c r="S109" s="128">
        <f>MAX($W$1-ROUND(ROUND((E109+H109+N109+K109)*D109,2)/D109,2),0)*D109</f>
        <v>944</v>
      </c>
      <c r="T109" s="132">
        <f>ROUND((E109+H109+K109)*D109+N109+Q109+S109,2)</f>
        <v>3000</v>
      </c>
      <c r="U109" s="129">
        <f t="shared" si="44"/>
        <v>24000</v>
      </c>
      <c r="V109" s="130">
        <f t="shared" si="35"/>
        <v>0</v>
      </c>
      <c r="W109" s="118"/>
    </row>
    <row r="110" spans="1:23" ht="33" customHeight="1" thickBot="1">
      <c r="A110" s="124">
        <v>10</v>
      </c>
      <c r="B110" s="144" t="s">
        <v>141</v>
      </c>
      <c r="C110" s="126">
        <v>7</v>
      </c>
      <c r="D110" s="126">
        <v>1</v>
      </c>
      <c r="E110" s="126">
        <v>4112</v>
      </c>
      <c r="F110" s="126">
        <v>30</v>
      </c>
      <c r="G110" s="126">
        <f t="shared" si="37"/>
        <v>1233.6</v>
      </c>
      <c r="H110" s="128">
        <f>E110*F110/100</f>
        <v>1233.6</v>
      </c>
      <c r="I110" s="126"/>
      <c r="J110" s="126">
        <f t="shared" si="38"/>
        <v>0</v>
      </c>
      <c r="K110" s="126"/>
      <c r="L110" s="126"/>
      <c r="M110" s="126">
        <f>N110*D110</f>
        <v>0</v>
      </c>
      <c r="N110" s="126"/>
      <c r="O110" s="126"/>
      <c r="P110" s="126">
        <f t="shared" si="41"/>
        <v>0</v>
      </c>
      <c r="Q110" s="126"/>
      <c r="R110" s="128">
        <f t="shared" si="42"/>
        <v>654.3999999999996</v>
      </c>
      <c r="S110" s="128">
        <f>MAX($W$1-ROUND(ROUND((E110+H110+N110+K110+Q110)*D110,2)/D110,2),0)</f>
        <v>654.3999999999996</v>
      </c>
      <c r="T110" s="128">
        <f>ROUND((E110+H110+N110+K110+Q110+S110)*D110,2)</f>
        <v>6000</v>
      </c>
      <c r="U110" s="163">
        <f t="shared" si="44"/>
        <v>48000</v>
      </c>
      <c r="V110" s="130">
        <f t="shared" si="35"/>
        <v>0</v>
      </c>
      <c r="W110" s="118"/>
    </row>
    <row r="111" spans="1:23" ht="40.5" customHeight="1" thickBot="1">
      <c r="A111" s="303" t="s">
        <v>28</v>
      </c>
      <c r="B111" s="304"/>
      <c r="C111" s="139" t="s">
        <v>96</v>
      </c>
      <c r="D111" s="143">
        <f>SUM(D108:D110)</f>
        <v>2.5</v>
      </c>
      <c r="E111" s="141">
        <f>T111-H111-N111-K111-Q111-S111</f>
        <v>11027.000000000002</v>
      </c>
      <c r="F111" s="139" t="s">
        <v>15</v>
      </c>
      <c r="G111" s="139"/>
      <c r="H111" s="141">
        <f>SUM(G101:G110)</f>
        <v>1233.6</v>
      </c>
      <c r="I111" s="139" t="s">
        <v>15</v>
      </c>
      <c r="J111" s="139"/>
      <c r="K111" s="141">
        <f>SUM(J101:J110)</f>
        <v>0</v>
      </c>
      <c r="L111" s="139" t="s">
        <v>15</v>
      </c>
      <c r="M111" s="139"/>
      <c r="N111" s="141">
        <f>SUM(M101:M110)</f>
        <v>16248.489999999998</v>
      </c>
      <c r="O111" s="139"/>
      <c r="P111" s="139"/>
      <c r="Q111" s="141">
        <f>SUM(P101:P110)</f>
        <v>0</v>
      </c>
      <c r="R111" s="141"/>
      <c r="S111" s="141">
        <f>SUM(R101:R110)</f>
        <v>1598.3999999999996</v>
      </c>
      <c r="T111" s="141">
        <f>SUM(T100:T110)</f>
        <v>30107.489999999998</v>
      </c>
      <c r="U111" s="142">
        <f>SUM(U100:U110)</f>
        <v>240859.91999999998</v>
      </c>
      <c r="V111" s="130">
        <f t="shared" si="35"/>
        <v>0</v>
      </c>
      <c r="W111" s="118" t="str">
        <f>LEFT(A111,6)</f>
        <v>Всього</v>
      </c>
    </row>
    <row r="112" spans="1:23" ht="32.25" customHeight="1">
      <c r="A112" s="269" t="s">
        <v>92</v>
      </c>
      <c r="B112" s="270"/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1"/>
      <c r="V112" s="130">
        <f t="shared" si="35"/>
        <v>0</v>
      </c>
      <c r="W112" s="118" t="str">
        <f>LEFT(A112,6)</f>
        <v>2.1.3.</v>
      </c>
    </row>
    <row r="113" spans="1:23" ht="36" customHeight="1">
      <c r="A113" s="150">
        <v>1</v>
      </c>
      <c r="B113" s="162" t="s">
        <v>21</v>
      </c>
      <c r="C113" s="126">
        <v>2</v>
      </c>
      <c r="D113" s="126">
        <v>2</v>
      </c>
      <c r="E113" s="126">
        <v>2910</v>
      </c>
      <c r="F113" s="126"/>
      <c r="G113" s="126">
        <f>H113*$D113</f>
        <v>0</v>
      </c>
      <c r="H113" s="126"/>
      <c r="I113" s="126"/>
      <c r="J113" s="126">
        <f>K113*$D113</f>
        <v>0</v>
      </c>
      <c r="K113" s="126"/>
      <c r="L113" s="126"/>
      <c r="M113" s="126">
        <f>N113*D113</f>
        <v>0</v>
      </c>
      <c r="N113" s="126"/>
      <c r="O113" s="126">
        <v>10</v>
      </c>
      <c r="P113" s="126">
        <f>Q113*D113</f>
        <v>582</v>
      </c>
      <c r="Q113" s="128">
        <f>E113*O113/100</f>
        <v>291</v>
      </c>
      <c r="R113" s="128">
        <f>S113*D113</f>
        <v>6180</v>
      </c>
      <c r="S113" s="128">
        <f>MAX($W$1-ROUND(ROUND((E113+H113+N113+K113)*D113,2)/D113,2),0)</f>
        <v>3090</v>
      </c>
      <c r="T113" s="128">
        <f>ROUND((E113+H113+N113+K113+Q113+S113)*D113,2)</f>
        <v>12582</v>
      </c>
      <c r="U113" s="163">
        <f>ROUND(T113*$W$92,2)</f>
        <v>100656</v>
      </c>
      <c r="V113" s="130">
        <f t="shared" si="35"/>
        <v>0</v>
      </c>
      <c r="W113" s="118"/>
    </row>
    <row r="114" spans="1:23" ht="27" customHeight="1">
      <c r="A114" s="150">
        <v>2</v>
      </c>
      <c r="B114" s="144" t="s">
        <v>23</v>
      </c>
      <c r="C114" s="126">
        <v>2</v>
      </c>
      <c r="D114" s="126">
        <v>1</v>
      </c>
      <c r="E114" s="126">
        <v>2910</v>
      </c>
      <c r="F114" s="126"/>
      <c r="G114" s="126">
        <f>H114*$D114</f>
        <v>0</v>
      </c>
      <c r="H114" s="126"/>
      <c r="I114" s="126"/>
      <c r="J114" s="126">
        <f>K114*$D114</f>
        <v>0</v>
      </c>
      <c r="K114" s="126"/>
      <c r="L114" s="126"/>
      <c r="M114" s="126">
        <f>N114*D114</f>
        <v>0</v>
      </c>
      <c r="N114" s="126"/>
      <c r="O114" s="126">
        <v>13</v>
      </c>
      <c r="P114" s="126">
        <f>Q114*D114</f>
        <v>378.3</v>
      </c>
      <c r="Q114" s="128">
        <f>E114*O114/100</f>
        <v>378.3</v>
      </c>
      <c r="R114" s="128">
        <f>S114*D114</f>
        <v>3090</v>
      </c>
      <c r="S114" s="128">
        <f>MAX($W$1-ROUND(ROUND((E114+H114+N114+K114)*D114,2)/D114,2),0)</f>
        <v>3090</v>
      </c>
      <c r="T114" s="128">
        <f>ROUND((E114+H114+N114+K114+Q114+S114)*D114,2)</f>
        <v>6378.3</v>
      </c>
      <c r="U114" s="163">
        <f>ROUND(T114*$W$92,2)</f>
        <v>51026.4</v>
      </c>
      <c r="V114" s="130">
        <f t="shared" si="35"/>
        <v>0</v>
      </c>
      <c r="W114" s="118"/>
    </row>
    <row r="115" spans="1:23" ht="37.5" customHeight="1" thickBot="1">
      <c r="A115" s="164">
        <v>3</v>
      </c>
      <c r="B115" s="145" t="s">
        <v>29</v>
      </c>
      <c r="C115" s="136">
        <v>2</v>
      </c>
      <c r="D115" s="136">
        <v>1</v>
      </c>
      <c r="E115" s="136">
        <v>2910</v>
      </c>
      <c r="F115" s="136"/>
      <c r="G115" s="136">
        <f>H115*$D115</f>
        <v>0</v>
      </c>
      <c r="H115" s="136"/>
      <c r="I115" s="136"/>
      <c r="J115" s="136">
        <f>K115*$D115</f>
        <v>0</v>
      </c>
      <c r="K115" s="136"/>
      <c r="L115" s="136"/>
      <c r="M115" s="136">
        <f>N115*D115</f>
        <v>0</v>
      </c>
      <c r="N115" s="136"/>
      <c r="O115" s="136"/>
      <c r="P115" s="136">
        <f>Q115*D115</f>
        <v>0</v>
      </c>
      <c r="Q115" s="136"/>
      <c r="R115" s="128">
        <f>S115*D115</f>
        <v>3090</v>
      </c>
      <c r="S115" s="128">
        <f>MAX($W$1-ROUND(ROUND((E115+H115+N115+K115)*D115,2)/D115,2),0)</f>
        <v>3090</v>
      </c>
      <c r="T115" s="128">
        <f>ROUND((E115+H115+N115+K115+Q115+S115)*D115,2)</f>
        <v>6000</v>
      </c>
      <c r="U115" s="165">
        <f>ROUND(T115*$W$92,2)</f>
        <v>48000</v>
      </c>
      <c r="V115" s="130">
        <f t="shared" si="35"/>
        <v>0</v>
      </c>
      <c r="W115" s="118"/>
    </row>
    <row r="116" spans="1:23" ht="30" customHeight="1" thickBot="1">
      <c r="A116" s="303" t="s">
        <v>65</v>
      </c>
      <c r="B116" s="304"/>
      <c r="C116" s="139" t="s">
        <v>96</v>
      </c>
      <c r="D116" s="143">
        <f>SUM(D113:D115)</f>
        <v>4</v>
      </c>
      <c r="E116" s="141">
        <f>T116-H116-N116-K116-Q116-S116</f>
        <v>11640</v>
      </c>
      <c r="F116" s="139" t="s">
        <v>15</v>
      </c>
      <c r="G116" s="139"/>
      <c r="H116" s="141">
        <f>SUM(G113:G115)</f>
        <v>0</v>
      </c>
      <c r="I116" s="139" t="s">
        <v>15</v>
      </c>
      <c r="J116" s="139"/>
      <c r="K116" s="141">
        <f>SUM(J113:J115)</f>
        <v>0</v>
      </c>
      <c r="L116" s="139" t="s">
        <v>15</v>
      </c>
      <c r="M116" s="139"/>
      <c r="N116" s="141">
        <f>SUM(M113:M115)</f>
        <v>0</v>
      </c>
      <c r="O116" s="139"/>
      <c r="P116" s="139"/>
      <c r="Q116" s="141">
        <f>SUM(P113:P115)</f>
        <v>960.3</v>
      </c>
      <c r="R116" s="141"/>
      <c r="S116" s="141">
        <f>SUM(R113:R115)</f>
        <v>12360</v>
      </c>
      <c r="T116" s="141">
        <f>SUM(T112:T115)</f>
        <v>24960.3</v>
      </c>
      <c r="U116" s="142">
        <f>SUM(U112:U115)</f>
        <v>199682.4</v>
      </c>
      <c r="V116" s="130"/>
      <c r="W116" s="118" t="str">
        <f>LEFT(A116,6)</f>
        <v>Всього</v>
      </c>
    </row>
    <row r="117" spans="1:23" ht="27" customHeight="1" thickBot="1">
      <c r="A117" s="303" t="s">
        <v>94</v>
      </c>
      <c r="B117" s="304"/>
      <c r="C117" s="166" t="s">
        <v>96</v>
      </c>
      <c r="D117" s="143">
        <f>SUMIF($W$95:$W$116,"Всього",D95:D116)</f>
        <v>6.75</v>
      </c>
      <c r="E117" s="141">
        <f>T117-H117-N117-K117-Q117-S117</f>
        <v>24788.3255</v>
      </c>
      <c r="F117" s="139" t="s">
        <v>15</v>
      </c>
      <c r="G117" s="166"/>
      <c r="H117" s="143">
        <f>SUMIF($W$95:$W$116,"Всього",H95:H116)</f>
        <v>1657.8645</v>
      </c>
      <c r="I117" s="139" t="s">
        <v>15</v>
      </c>
      <c r="J117" s="166"/>
      <c r="K117" s="140">
        <f>SUMIF($W$95:$W$116,"Всього",K95:K116)</f>
        <v>530.33</v>
      </c>
      <c r="L117" s="139" t="s">
        <v>15</v>
      </c>
      <c r="M117" s="166"/>
      <c r="N117" s="143">
        <f>SUMIF($W$95:$W$116,"Всього",N95:N116)</f>
        <v>26395.48</v>
      </c>
      <c r="O117" s="166"/>
      <c r="P117" s="166"/>
      <c r="Q117" s="140">
        <f>SUMIF($W$95:$W$116,"Всього",Q95:Q116)</f>
        <v>960.3</v>
      </c>
      <c r="R117" s="143"/>
      <c r="S117" s="143">
        <f>SUMIF($W$95:$W$116,"Всього",S95:S116)</f>
        <v>13958.4</v>
      </c>
      <c r="T117" s="167">
        <f>SUMIF($W$95:$W$116,"Всього",T95:T116)</f>
        <v>68290.7</v>
      </c>
      <c r="U117" s="142">
        <f>SUMIF($W$95:$W$116,"Всього",U95:U116)</f>
        <v>546325.6</v>
      </c>
      <c r="V117" s="112" t="s">
        <v>3</v>
      </c>
      <c r="W117" s="4">
        <v>8</v>
      </c>
    </row>
    <row r="118" spans="1:23" ht="31.5" customHeight="1">
      <c r="A118" s="305" t="s">
        <v>112</v>
      </c>
      <c r="B118" s="306"/>
      <c r="C118" s="306"/>
      <c r="D118" s="168">
        <v>24.09</v>
      </c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7">
        <v>198007.57</v>
      </c>
      <c r="U118" s="149">
        <f>ROUND(T118*$W$92,2)</f>
        <v>1584060.56</v>
      </c>
      <c r="V118" s="130"/>
      <c r="W118" s="118" t="str">
        <f aca="true" t="shared" si="45" ref="W118:W130">LEFT(A118,6)</f>
        <v>2.1.4 </v>
      </c>
    </row>
    <row r="119" spans="1:23" ht="28.5" customHeight="1">
      <c r="A119" s="283" t="s">
        <v>131</v>
      </c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144"/>
      <c r="S119" s="144"/>
      <c r="T119" s="128">
        <v>38640.32</v>
      </c>
      <c r="U119" s="129">
        <f>ROUND(T119*$W$92,2)</f>
        <v>309122.56</v>
      </c>
      <c r="V119" s="130"/>
      <c r="W119" s="118" t="str">
        <f t="shared" si="45"/>
        <v>2.1.5 </v>
      </c>
    </row>
    <row r="120" spans="1:23" ht="29.25" customHeight="1">
      <c r="A120" s="283" t="s">
        <v>164</v>
      </c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144"/>
      <c r="S120" s="144"/>
      <c r="T120" s="128">
        <v>41589.32</v>
      </c>
      <c r="U120" s="129">
        <f>ROUND(T120*$W$92,2)</f>
        <v>332714.56</v>
      </c>
      <c r="V120" s="130"/>
      <c r="W120" s="118" t="str">
        <f t="shared" si="45"/>
        <v>2.1.6 </v>
      </c>
    </row>
    <row r="121" spans="1:23" ht="31.5" customHeight="1">
      <c r="A121" s="283" t="s">
        <v>114</v>
      </c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129">
        <v>60314.8</v>
      </c>
      <c r="V121" s="130"/>
      <c r="W121" s="118" t="str">
        <f t="shared" si="45"/>
        <v>2.1.7 </v>
      </c>
    </row>
    <row r="122" spans="1:23" ht="26.25" customHeight="1">
      <c r="A122" s="283" t="s">
        <v>142</v>
      </c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129">
        <v>4112</v>
      </c>
      <c r="V122" s="130"/>
      <c r="W122" s="118" t="str">
        <f>LEFT(A122,6)</f>
        <v>2.1.8 </v>
      </c>
    </row>
    <row r="123" spans="1:23" ht="27.75" customHeight="1">
      <c r="A123" s="283" t="s">
        <v>143</v>
      </c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129"/>
      <c r="V123" s="130"/>
      <c r="W123" s="118" t="str">
        <f t="shared" si="45"/>
        <v>2.1.9 </v>
      </c>
    </row>
    <row r="124" spans="1:23" ht="27.75" customHeight="1">
      <c r="A124" s="285" t="s">
        <v>171</v>
      </c>
      <c r="B124" s="286"/>
      <c r="C124" s="286"/>
      <c r="D124" s="286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7"/>
      <c r="U124" s="149">
        <v>3289.6</v>
      </c>
      <c r="V124" s="130"/>
      <c r="W124" s="118" t="str">
        <f t="shared" si="45"/>
        <v>2.1.10</v>
      </c>
    </row>
    <row r="125" spans="1:23" ht="27.75" customHeight="1">
      <c r="A125" s="295" t="s">
        <v>172</v>
      </c>
      <c r="B125" s="296"/>
      <c r="C125" s="296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7"/>
      <c r="U125" s="149">
        <f>U126-SUM(U117:U124)</f>
        <v>22828.319999999832</v>
      </c>
      <c r="V125" s="130"/>
      <c r="W125" s="118" t="str">
        <f>LEFT(A125,6)</f>
        <v>2.1.11</v>
      </c>
    </row>
    <row r="126" spans="1:23" ht="28.5" customHeight="1">
      <c r="A126" s="169" t="s">
        <v>134</v>
      </c>
      <c r="B126" s="170"/>
      <c r="C126" s="153"/>
      <c r="D126" s="152">
        <f>D118+D117</f>
        <v>30.84</v>
      </c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28">
        <f>SUM(T117:T120)</f>
        <v>346527.91000000003</v>
      </c>
      <c r="U126" s="171">
        <v>2862768</v>
      </c>
      <c r="V126" s="130"/>
      <c r="W126" s="118" t="str">
        <f t="shared" si="45"/>
        <v>Всього</v>
      </c>
    </row>
    <row r="127" spans="1:23" ht="35.25" customHeight="1">
      <c r="A127" s="298" t="s">
        <v>126</v>
      </c>
      <c r="B127" s="299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300"/>
      <c r="V127" s="130"/>
      <c r="W127" s="118" t="str">
        <f t="shared" si="45"/>
        <v>2.2. К</v>
      </c>
    </row>
    <row r="128" spans="1:23" ht="44.25" customHeight="1">
      <c r="A128" s="301" t="s">
        <v>50</v>
      </c>
      <c r="B128" s="302"/>
      <c r="C128" s="126">
        <v>13</v>
      </c>
      <c r="D128" s="127">
        <v>1</v>
      </c>
      <c r="E128" s="128">
        <v>6667.1</v>
      </c>
      <c r="F128" s="126">
        <v>20</v>
      </c>
      <c r="G128" s="126">
        <f>H128*$D128</f>
        <v>1333.42</v>
      </c>
      <c r="H128" s="128">
        <f>E128*F128*D128/100</f>
        <v>1333.42</v>
      </c>
      <c r="I128" s="126">
        <v>20</v>
      </c>
      <c r="J128" s="126">
        <f>K128*$D128</f>
        <v>1333.42</v>
      </c>
      <c r="K128" s="128">
        <f>ROUND(E128*I128/100*D128,2)</f>
        <v>1333.42</v>
      </c>
      <c r="L128" s="126"/>
      <c r="M128" s="128"/>
      <c r="N128" s="128">
        <f>ROUND(E128*L128/100,2)</f>
        <v>0</v>
      </c>
      <c r="O128" s="126"/>
      <c r="P128" s="126">
        <f>Q128*D128</f>
        <v>0</v>
      </c>
      <c r="Q128" s="128">
        <f>E128*O128/100</f>
        <v>0</v>
      </c>
      <c r="R128" s="128">
        <f>S128*D128</f>
        <v>0</v>
      </c>
      <c r="S128" s="128">
        <f>MAX($W$1-ROUND(ROUND((E128+H128+N128+K128+Q128)*D128,2)/D128,2),0)</f>
        <v>0</v>
      </c>
      <c r="T128" s="128">
        <f>ROUND((E128+H128+N128+K128+Q128)*D128,2)</f>
        <v>9333.94</v>
      </c>
      <c r="U128" s="129">
        <v>18667.88</v>
      </c>
      <c r="V128" s="130">
        <f>IF(D128&gt;0,IF((U128/D128-Q128)&gt;$W$1,0,($W$1-(U128/D128-Q128))*D128),0)</f>
        <v>0</v>
      </c>
      <c r="W128" s="118" t="str">
        <f t="shared" si="45"/>
        <v>2.2.1 </v>
      </c>
    </row>
    <row r="129" spans="1:23" ht="26.25" customHeight="1">
      <c r="A129" s="172" t="s">
        <v>46</v>
      </c>
      <c r="B129" s="125"/>
      <c r="C129" s="126">
        <v>12</v>
      </c>
      <c r="D129" s="127">
        <v>4</v>
      </c>
      <c r="E129" s="128">
        <v>6226</v>
      </c>
      <c r="F129" s="126"/>
      <c r="G129" s="126">
        <f>H129*$D129</f>
        <v>0</v>
      </c>
      <c r="H129" s="128">
        <v>0</v>
      </c>
      <c r="I129" s="126">
        <v>0</v>
      </c>
      <c r="J129" s="126">
        <f>K129*$D129</f>
        <v>0</v>
      </c>
      <c r="K129" s="128">
        <f>ROUND(E129*I129/100*D129,2)</f>
        <v>0</v>
      </c>
      <c r="L129" s="126"/>
      <c r="M129" s="126"/>
      <c r="N129" s="128">
        <f>ROUND(E129*L129/100,2)</f>
        <v>0</v>
      </c>
      <c r="O129" s="126"/>
      <c r="P129" s="126"/>
      <c r="Q129" s="128">
        <f>E129*O129/100</f>
        <v>0</v>
      </c>
      <c r="R129" s="128">
        <f>S129*D129</f>
        <v>0</v>
      </c>
      <c r="S129" s="128"/>
      <c r="T129" s="128">
        <f>ROUND((E129+H129+N129+K129+Q129+S129)*D129,2)</f>
        <v>24904</v>
      </c>
      <c r="U129" s="129">
        <v>49808</v>
      </c>
      <c r="V129" s="130">
        <f>IF(D129&gt;0,IF((U129/D129-Q129)&gt;$W$1,0,($W$1-(U129/D129-Q129))*D129),0)</f>
        <v>0</v>
      </c>
      <c r="W129" s="118" t="str">
        <f t="shared" si="45"/>
        <v>2.2.2 </v>
      </c>
    </row>
    <row r="130" spans="1:23" ht="25.5" customHeight="1">
      <c r="A130" s="283" t="s">
        <v>30</v>
      </c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144"/>
      <c r="S130" s="144"/>
      <c r="T130" s="128">
        <v>6226</v>
      </c>
      <c r="U130" s="129">
        <v>12452</v>
      </c>
      <c r="V130" s="130"/>
      <c r="W130" s="118" t="str">
        <f t="shared" si="45"/>
        <v>2.2.3 </v>
      </c>
    </row>
    <row r="131" spans="1:23" ht="27.75" customHeight="1">
      <c r="A131" s="283" t="s">
        <v>48</v>
      </c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144"/>
      <c r="S131" s="144"/>
      <c r="T131" s="128">
        <v>6226</v>
      </c>
      <c r="U131" s="129">
        <v>12452</v>
      </c>
      <c r="V131" s="130"/>
      <c r="W131" s="118" t="str">
        <f>LEFT(A131,6)</f>
        <v>2.2.4 </v>
      </c>
    </row>
    <row r="132" spans="1:23" ht="26.25" customHeight="1">
      <c r="A132" s="283" t="s">
        <v>105</v>
      </c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129">
        <v>6667.1</v>
      </c>
      <c r="V132" s="130"/>
      <c r="W132" s="118" t="str">
        <f>LEFT(A132,6)</f>
        <v>2.2.5 </v>
      </c>
    </row>
    <row r="133" spans="1:23" ht="24.75" customHeight="1">
      <c r="A133" s="283" t="s">
        <v>106</v>
      </c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129"/>
      <c r="V133" s="130"/>
      <c r="W133" s="118" t="str">
        <f>LEFT(A133,6)</f>
        <v>2.2.6 </v>
      </c>
    </row>
    <row r="134" spans="1:23" ht="24.75" customHeight="1">
      <c r="A134" s="285" t="s">
        <v>149</v>
      </c>
      <c r="B134" s="286"/>
      <c r="C134" s="286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7"/>
      <c r="U134" s="138">
        <f>U135-SUM(U128:U133)</f>
        <v>579.0199999999895</v>
      </c>
      <c r="V134" s="130"/>
      <c r="W134" s="118"/>
    </row>
    <row r="135" spans="1:23" ht="26.25" customHeight="1" thickBot="1">
      <c r="A135" s="173" t="s">
        <v>135</v>
      </c>
      <c r="B135" s="174"/>
      <c r="C135" s="175"/>
      <c r="D135" s="176">
        <f>D129+D128</f>
        <v>5</v>
      </c>
      <c r="E135" s="132"/>
      <c r="F135" s="174"/>
      <c r="G135" s="174"/>
      <c r="H135" s="177"/>
      <c r="I135" s="174"/>
      <c r="J135" s="174"/>
      <c r="K135" s="177"/>
      <c r="L135" s="174"/>
      <c r="M135" s="174"/>
      <c r="N135" s="177"/>
      <c r="O135" s="174"/>
      <c r="P135" s="174"/>
      <c r="Q135" s="177">
        <f>SUM(Q128:Q129)</f>
        <v>0</v>
      </c>
      <c r="R135" s="177"/>
      <c r="S135" s="177"/>
      <c r="T135" s="132">
        <f>SUM(T128:T131)</f>
        <v>46689.94</v>
      </c>
      <c r="U135" s="138">
        <v>100626</v>
      </c>
      <c r="V135" s="130"/>
      <c r="W135" s="118"/>
    </row>
    <row r="136" spans="1:23" ht="27" customHeight="1" thickBot="1">
      <c r="A136" s="288" t="s">
        <v>95</v>
      </c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90"/>
      <c r="V136" s="130"/>
      <c r="W136" s="118" t="str">
        <f>LEFT(A135,6)</f>
        <v>Всього</v>
      </c>
    </row>
    <row r="137" spans="1:25" ht="27" customHeight="1">
      <c r="A137" s="291" t="s">
        <v>31</v>
      </c>
      <c r="B137" s="292"/>
      <c r="C137" s="292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3"/>
      <c r="V137" s="112" t="s">
        <v>3</v>
      </c>
      <c r="W137" s="4">
        <v>8</v>
      </c>
      <c r="X137" s="113"/>
      <c r="Y137" s="113"/>
    </row>
    <row r="138" spans="1:25" ht="26.25" customHeight="1">
      <c r="A138" s="136">
        <v>1</v>
      </c>
      <c r="B138" s="175" t="s">
        <v>64</v>
      </c>
      <c r="C138" s="136">
        <v>5</v>
      </c>
      <c r="D138" s="146">
        <v>0.5</v>
      </c>
      <c r="E138" s="137">
        <v>3631</v>
      </c>
      <c r="F138" s="178"/>
      <c r="G138" s="136">
        <f>H138*$D138</f>
        <v>0</v>
      </c>
      <c r="H138" s="177"/>
      <c r="I138" s="178"/>
      <c r="J138" s="136">
        <f>K138*$D138</f>
        <v>0</v>
      </c>
      <c r="K138" s="177"/>
      <c r="L138" s="178"/>
      <c r="M138" s="136">
        <f>N138*D138</f>
        <v>0</v>
      </c>
      <c r="N138" s="177"/>
      <c r="O138" s="178"/>
      <c r="P138" s="136">
        <f>Q138*D138</f>
        <v>0</v>
      </c>
      <c r="Q138" s="132">
        <f>E138*O138*D138/100</f>
        <v>0</v>
      </c>
      <c r="R138" s="161">
        <f>S138</f>
        <v>1184.5</v>
      </c>
      <c r="S138" s="128">
        <f>MAX($W$1-ROUND(ROUND((E138+H138+N138+K138)*D138,2)/D138,2),0)*D138</f>
        <v>1184.5</v>
      </c>
      <c r="T138" s="128">
        <f>ROUND((E138+H138+N138)*D138+K138+Q138+S138,2)</f>
        <v>3000</v>
      </c>
      <c r="U138" s="136">
        <f>ROUND(T138*$W$92,2)</f>
        <v>24000</v>
      </c>
      <c r="V138" s="113"/>
      <c r="W138" s="179"/>
      <c r="X138" s="113"/>
      <c r="Y138" s="113"/>
    </row>
    <row r="139" spans="1:25" ht="24" customHeight="1" thickBot="1">
      <c r="A139" s="124">
        <v>2</v>
      </c>
      <c r="B139" s="135" t="s">
        <v>63</v>
      </c>
      <c r="C139" s="136">
        <v>6</v>
      </c>
      <c r="D139" s="137">
        <v>2</v>
      </c>
      <c r="E139" s="137">
        <v>3872</v>
      </c>
      <c r="F139" s="136"/>
      <c r="G139" s="136">
        <f>H139*$D139</f>
        <v>0</v>
      </c>
      <c r="H139" s="132"/>
      <c r="I139" s="136"/>
      <c r="J139" s="136">
        <f>K139*$D139</f>
        <v>0</v>
      </c>
      <c r="K139" s="132">
        <f>ROUND(E139*I139/100,2)</f>
        <v>0</v>
      </c>
      <c r="L139" s="136"/>
      <c r="M139" s="136">
        <f>N139*D139</f>
        <v>0</v>
      </c>
      <c r="N139" s="146"/>
      <c r="O139" s="136"/>
      <c r="P139" s="136">
        <f>Q139*D139</f>
        <v>0</v>
      </c>
      <c r="Q139" s="132">
        <f>E139*O139*D139/100</f>
        <v>0</v>
      </c>
      <c r="R139" s="161">
        <f>S139</f>
        <v>4256</v>
      </c>
      <c r="S139" s="128">
        <f>MAX($W$1-ROUND(ROUND((E139+H139+N139+K139)*D139,2)/D139,2),0)*D139</f>
        <v>4256</v>
      </c>
      <c r="T139" s="128">
        <f>ROUND((E139+H139+N139)*D139+K139+Q139+S139,2)</f>
        <v>12000</v>
      </c>
      <c r="U139" s="136">
        <f>ROUND(T139*$W$92,2)</f>
        <v>96000</v>
      </c>
      <c r="V139" s="130">
        <f>IF(D138&gt;0,IF((U138/D138-Q138)&gt;$W$1,0,($W$1-(U138/D138-Q138))*D138),0)</f>
        <v>0</v>
      </c>
      <c r="W139" s="179"/>
      <c r="X139" s="113"/>
      <c r="Y139" s="113"/>
    </row>
    <row r="140" spans="1:25" ht="24" customHeight="1" thickBot="1">
      <c r="A140" s="272" t="s">
        <v>32</v>
      </c>
      <c r="B140" s="294"/>
      <c r="C140" s="180" t="s">
        <v>96</v>
      </c>
      <c r="D140" s="143">
        <f>SUM(D138:D139)</f>
        <v>2.5</v>
      </c>
      <c r="E140" s="141">
        <f>T140-H140-N140-K140-Q140-S140</f>
        <v>9559.5</v>
      </c>
      <c r="F140" s="181"/>
      <c r="G140" s="139">
        <f>H140*$D140</f>
        <v>0</v>
      </c>
      <c r="H140" s="140"/>
      <c r="I140" s="181"/>
      <c r="J140" s="139">
        <f>K140*$D140</f>
        <v>0</v>
      </c>
      <c r="K140" s="140"/>
      <c r="L140" s="181"/>
      <c r="M140" s="139">
        <f>N140*D140</f>
        <v>0</v>
      </c>
      <c r="N140" s="140"/>
      <c r="O140" s="181"/>
      <c r="P140" s="139">
        <f>Q140*D140</f>
        <v>0</v>
      </c>
      <c r="Q140" s="140"/>
      <c r="R140" s="140"/>
      <c r="S140" s="140">
        <f>SUM(S138:S139)</f>
        <v>5440.5</v>
      </c>
      <c r="T140" s="141">
        <f>SUM(T138:T139)</f>
        <v>15000</v>
      </c>
      <c r="U140" s="126">
        <f>SUM(U138:U139)</f>
        <v>120000</v>
      </c>
      <c r="V140" s="130"/>
      <c r="W140" s="179"/>
      <c r="X140" s="113"/>
      <c r="Y140" s="113"/>
    </row>
    <row r="141" spans="1:23" ht="27.75" customHeight="1">
      <c r="A141" s="269" t="s">
        <v>33</v>
      </c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1"/>
      <c r="W141" s="118"/>
    </row>
    <row r="142" spans="1:23" ht="31.5" customHeight="1">
      <c r="A142" s="124">
        <v>1</v>
      </c>
      <c r="B142" s="144" t="s">
        <v>34</v>
      </c>
      <c r="C142" s="126">
        <v>3</v>
      </c>
      <c r="D142" s="127">
        <v>4</v>
      </c>
      <c r="E142" s="127">
        <v>3151</v>
      </c>
      <c r="F142" s="126"/>
      <c r="G142" s="126">
        <f>H142*$D142</f>
        <v>0</v>
      </c>
      <c r="H142" s="128"/>
      <c r="I142" s="126"/>
      <c r="J142" s="126">
        <f>K142*$D142</f>
        <v>0</v>
      </c>
      <c r="K142" s="128"/>
      <c r="L142" s="126"/>
      <c r="M142" s="126">
        <f>N142*D142</f>
        <v>0</v>
      </c>
      <c r="N142" s="128"/>
      <c r="O142" s="126">
        <v>13</v>
      </c>
      <c r="P142" s="128">
        <f>Q142</f>
        <v>1638.52</v>
      </c>
      <c r="Q142" s="132">
        <f>E142*O142*D142/100</f>
        <v>1638.52</v>
      </c>
      <c r="R142" s="161">
        <f>S142</f>
        <v>11396</v>
      </c>
      <c r="S142" s="128">
        <f>MAX($W$1-ROUND(ROUND((E142+H142+N142+K142)*D142,2)/D142,2),0)*D142</f>
        <v>11396</v>
      </c>
      <c r="T142" s="128">
        <f>ROUND((E142+H142+N142)*D142+K142+Q142+S142,2)</f>
        <v>25638.52</v>
      </c>
      <c r="U142" s="163">
        <f>ROUND(T142*$W$92,2)</f>
        <v>205108.16</v>
      </c>
      <c r="W142" s="118"/>
    </row>
    <row r="143" spans="1:23" ht="37.5" customHeight="1" thickBot="1">
      <c r="A143" s="124">
        <v>2</v>
      </c>
      <c r="B143" s="162" t="s">
        <v>21</v>
      </c>
      <c r="C143" s="126">
        <v>2</v>
      </c>
      <c r="D143" s="127">
        <v>2</v>
      </c>
      <c r="E143" s="127">
        <v>2910</v>
      </c>
      <c r="F143" s="126"/>
      <c r="G143" s="126">
        <f>H143*$D143</f>
        <v>0</v>
      </c>
      <c r="H143" s="128"/>
      <c r="I143" s="126"/>
      <c r="J143" s="126">
        <f>K143*$D143</f>
        <v>0</v>
      </c>
      <c r="K143" s="128"/>
      <c r="L143" s="126"/>
      <c r="M143" s="126">
        <f>N143*D143</f>
        <v>0</v>
      </c>
      <c r="N143" s="128"/>
      <c r="O143" s="126">
        <v>10</v>
      </c>
      <c r="P143" s="128">
        <f>Q143</f>
        <v>582</v>
      </c>
      <c r="Q143" s="132">
        <f>E143*O143*D143/100</f>
        <v>582</v>
      </c>
      <c r="R143" s="161">
        <f>S143</f>
        <v>6180</v>
      </c>
      <c r="S143" s="128">
        <f>MAX($W$1-ROUND(ROUND((E143+H143+N143+K143)*D143,2)/D143,2),0)*D143</f>
        <v>6180</v>
      </c>
      <c r="T143" s="128">
        <f>ROUND((E143+H143+N143)*D143+K143+Q143+S143,2)</f>
        <v>12582</v>
      </c>
      <c r="U143" s="163">
        <f>ROUND(T143*$W$92,2)</f>
        <v>100656</v>
      </c>
      <c r="V143" s="130">
        <f>IF(D142&gt;0,IF((U142/D142-Q142)&gt;$W$1,0,($W$1-(U142/D142-Q142))*D142),0)</f>
        <v>0</v>
      </c>
      <c r="W143" s="118"/>
    </row>
    <row r="144" spans="1:23" ht="41.25" customHeight="1" thickBot="1">
      <c r="A144" s="272" t="s">
        <v>35</v>
      </c>
      <c r="B144" s="273"/>
      <c r="C144" s="166"/>
      <c r="D144" s="143">
        <f>SUM(D142:D143)</f>
        <v>6</v>
      </c>
      <c r="E144" s="141">
        <f>T144-H144-N144-K144-Q144-S144</f>
        <v>18424.000000000007</v>
      </c>
      <c r="F144" s="139" t="s">
        <v>15</v>
      </c>
      <c r="G144" s="139"/>
      <c r="H144" s="141">
        <f>SUM(G142:G143)</f>
        <v>0</v>
      </c>
      <c r="I144" s="139" t="s">
        <v>15</v>
      </c>
      <c r="J144" s="139"/>
      <c r="K144" s="141">
        <f>SUM(J142:J143)</f>
        <v>0</v>
      </c>
      <c r="L144" s="139" t="s">
        <v>15</v>
      </c>
      <c r="M144" s="139"/>
      <c r="N144" s="141">
        <f>SUM(M142:M143)</f>
        <v>0</v>
      </c>
      <c r="O144" s="139"/>
      <c r="P144" s="139"/>
      <c r="Q144" s="141">
        <f>SUM(P142:P143)</f>
        <v>2220.52</v>
      </c>
      <c r="R144" s="182"/>
      <c r="S144" s="141">
        <f>SUM(R142:R143)</f>
        <v>17576</v>
      </c>
      <c r="T144" s="141">
        <f>SUM(T142:T143)</f>
        <v>38220.520000000004</v>
      </c>
      <c r="U144" s="142">
        <f>SUM(U141:U143)</f>
        <v>305764.16000000003</v>
      </c>
      <c r="V144" s="130">
        <f>IF(D143&gt;0,IF((U143/D143-Q143)&gt;$W$1,0,($W$1-(U143/D143-Q143))*D143),0)</f>
        <v>0</v>
      </c>
      <c r="W144" s="118"/>
    </row>
    <row r="145" spans="1:23" ht="31.5" customHeight="1" thickBot="1">
      <c r="A145" s="272" t="s">
        <v>97</v>
      </c>
      <c r="B145" s="274"/>
      <c r="C145" s="139" t="s">
        <v>96</v>
      </c>
      <c r="D145" s="143">
        <f>D144+D140</f>
        <v>8.5</v>
      </c>
      <c r="E145" s="141">
        <f>E144+E140</f>
        <v>27983.500000000007</v>
      </c>
      <c r="F145" s="166"/>
      <c r="G145" s="166"/>
      <c r="H145" s="141">
        <f>H144+H140</f>
        <v>0</v>
      </c>
      <c r="I145" s="166"/>
      <c r="J145" s="166"/>
      <c r="K145" s="141">
        <f>K144+K140</f>
        <v>0</v>
      </c>
      <c r="L145" s="166"/>
      <c r="M145" s="166"/>
      <c r="N145" s="141">
        <f>N144+N140</f>
        <v>0</v>
      </c>
      <c r="O145" s="166"/>
      <c r="P145" s="166"/>
      <c r="Q145" s="141">
        <f>Q144+Q140</f>
        <v>2220.52</v>
      </c>
      <c r="R145" s="141"/>
      <c r="S145" s="141">
        <f>S144+S140</f>
        <v>23016.5</v>
      </c>
      <c r="T145" s="141">
        <f>T144+T140</f>
        <v>53220.520000000004</v>
      </c>
      <c r="U145" s="142">
        <f>U144+U140</f>
        <v>425764.16000000003</v>
      </c>
      <c r="V145" s="130"/>
      <c r="W145" s="118"/>
    </row>
    <row r="146" spans="1:23" ht="27.75" customHeight="1" thickBot="1">
      <c r="A146" s="275" t="s">
        <v>133</v>
      </c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  <c r="T146" s="277"/>
      <c r="U146" s="183">
        <f>U147-SUM(U145:U145)</f>
        <v>0.8399999999674037</v>
      </c>
      <c r="V146" s="130"/>
      <c r="W146" s="118"/>
    </row>
    <row r="147" spans="1:23" ht="25.5" customHeight="1" thickBot="1">
      <c r="A147" s="278" t="s">
        <v>36</v>
      </c>
      <c r="B147" s="279"/>
      <c r="C147" s="184"/>
      <c r="D147" s="143">
        <f>D145</f>
        <v>8.5</v>
      </c>
      <c r="E147" s="185">
        <f>E145</f>
        <v>27983.500000000007</v>
      </c>
      <c r="F147" s="184"/>
      <c r="G147" s="184"/>
      <c r="H147" s="185">
        <f>H145</f>
        <v>0</v>
      </c>
      <c r="I147" s="184"/>
      <c r="J147" s="184"/>
      <c r="K147" s="185">
        <f>K145</f>
        <v>0</v>
      </c>
      <c r="L147" s="184"/>
      <c r="M147" s="184"/>
      <c r="N147" s="185">
        <f>N145</f>
        <v>0</v>
      </c>
      <c r="O147" s="184"/>
      <c r="P147" s="184"/>
      <c r="Q147" s="185">
        <f>Q145</f>
        <v>2220.52</v>
      </c>
      <c r="R147" s="185"/>
      <c r="S147" s="185">
        <f>S145</f>
        <v>23016.5</v>
      </c>
      <c r="T147" s="185">
        <f>T145</f>
        <v>53220.520000000004</v>
      </c>
      <c r="U147" s="186">
        <v>425765</v>
      </c>
      <c r="V147" s="130"/>
      <c r="W147" s="118"/>
    </row>
    <row r="148" spans="1:23" ht="24" customHeight="1" thickBot="1">
      <c r="A148" s="187" t="s">
        <v>37</v>
      </c>
      <c r="B148" s="181"/>
      <c r="C148" s="188"/>
      <c r="D148" s="140">
        <f>D126+D135+D147</f>
        <v>44.34</v>
      </c>
      <c r="E148" s="141"/>
      <c r="F148" s="188"/>
      <c r="G148" s="188"/>
      <c r="H148" s="141">
        <f>H126+H135+H147</f>
        <v>0</v>
      </c>
      <c r="I148" s="188"/>
      <c r="J148" s="188"/>
      <c r="K148" s="141">
        <f>K126+K135+K147</f>
        <v>0</v>
      </c>
      <c r="L148" s="188"/>
      <c r="M148" s="188"/>
      <c r="N148" s="141">
        <f>N126+N135+N147</f>
        <v>0</v>
      </c>
      <c r="O148" s="188"/>
      <c r="P148" s="188"/>
      <c r="Q148" s="141"/>
      <c r="R148" s="141"/>
      <c r="S148" s="141"/>
      <c r="T148" s="141">
        <f>T126+T135+T147</f>
        <v>446438.37000000005</v>
      </c>
      <c r="U148" s="142">
        <f>U126+U135+U147</f>
        <v>3389159</v>
      </c>
      <c r="V148" s="130">
        <f>IF(D147&gt;0,IF((U147/D147-Q147)&gt;$W$1,0,($W$1-(U147/D147-Q147))*D147),0)</f>
        <v>0</v>
      </c>
      <c r="W148" s="118"/>
    </row>
    <row r="149" spans="1:23" ht="27" customHeight="1" thickBot="1">
      <c r="A149" s="280" t="s">
        <v>38</v>
      </c>
      <c r="B149" s="281"/>
      <c r="C149" s="282"/>
      <c r="D149" s="189">
        <f>D91+D148</f>
        <v>256.01</v>
      </c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1">
        <f>T91+T148</f>
        <v>2514281.2399999998</v>
      </c>
      <c r="U149" s="183">
        <f>SUM(U91+U148)</f>
        <v>29556859</v>
      </c>
      <c r="V149" s="130"/>
      <c r="W149" s="118"/>
    </row>
    <row r="150" spans="1:23" ht="30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30"/>
      <c r="W150" s="118"/>
    </row>
    <row r="151" spans="1:23" ht="16.5" customHeight="1">
      <c r="A151" s="1"/>
      <c r="B151" s="192" t="s">
        <v>165</v>
      </c>
      <c r="C151" s="5"/>
      <c r="D151" s="113"/>
      <c r="E151" s="5"/>
      <c r="F151" s="1"/>
      <c r="G151" s="1"/>
      <c r="H151" s="6"/>
      <c r="I151" s="6"/>
      <c r="J151" s="1"/>
      <c r="K151" s="6"/>
      <c r="L151" s="6" t="s">
        <v>166</v>
      </c>
      <c r="M151" s="6"/>
      <c r="N151" s="193"/>
      <c r="S151" s="113"/>
      <c r="T151" s="1"/>
      <c r="U151" s="1"/>
      <c r="V151" s="130"/>
      <c r="W151" s="118"/>
    </row>
    <row r="152" spans="1:23" ht="23.25" customHeight="1">
      <c r="A152" s="1"/>
      <c r="B152" s="113"/>
      <c r="C152" s="5"/>
      <c r="D152" s="5"/>
      <c r="E152" s="5"/>
      <c r="F152" s="1"/>
      <c r="G152" s="194"/>
      <c r="H152" s="195"/>
      <c r="I152" s="115" t="s">
        <v>167</v>
      </c>
      <c r="J152" s="195"/>
      <c r="K152" s="196"/>
      <c r="L152" s="195"/>
      <c r="M152" s="195"/>
      <c r="T152" s="1"/>
      <c r="U152" s="1"/>
      <c r="V152" s="130"/>
      <c r="W152" s="118"/>
    </row>
    <row r="153" spans="1:23" ht="21.75" customHeight="1">
      <c r="A153" s="1"/>
      <c r="B153" s="115" t="s">
        <v>102</v>
      </c>
      <c r="C153" s="5"/>
      <c r="D153" s="113"/>
      <c r="E153" s="5"/>
      <c r="F153" s="1"/>
      <c r="H153" s="193"/>
      <c r="I153" s="193"/>
      <c r="J153" s="193"/>
      <c r="K153" s="193"/>
      <c r="L153" s="6" t="s">
        <v>168</v>
      </c>
      <c r="M153" s="193"/>
      <c r="N153" s="193"/>
      <c r="S153" s="113"/>
      <c r="T153" s="1"/>
      <c r="U153" s="1"/>
      <c r="V153" s="130"/>
      <c r="W153" s="118"/>
    </row>
    <row r="154" spans="1:23" ht="21" customHeight="1">
      <c r="A154" s="1"/>
      <c r="C154" s="1"/>
      <c r="D154" s="1"/>
      <c r="E154" s="1"/>
      <c r="F154" s="1"/>
      <c r="G154" s="1"/>
      <c r="H154" s="195"/>
      <c r="I154" s="115" t="s">
        <v>45</v>
      </c>
      <c r="J154" s="195"/>
      <c r="K154" s="196"/>
      <c r="L154" s="195"/>
      <c r="M154" s="195"/>
      <c r="T154" s="1"/>
      <c r="U154" s="1"/>
      <c r="W154" s="118"/>
    </row>
    <row r="155" spans="1:23" ht="19.5" customHeight="1">
      <c r="A155" s="1"/>
      <c r="B155" s="116" t="s">
        <v>2</v>
      </c>
      <c r="C155" s="1"/>
      <c r="D155" s="1"/>
      <c r="E155" s="1"/>
      <c r="F155" s="1"/>
      <c r="G155" s="197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7"/>
      <c r="U155" s="1"/>
      <c r="W155" s="118"/>
    </row>
    <row r="156" spans="1:23" ht="21" customHeight="1">
      <c r="A156" s="1"/>
      <c r="C156" s="1"/>
      <c r="D156" s="1"/>
      <c r="E156" s="1"/>
      <c r="F156" s="1"/>
      <c r="G156" s="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1"/>
      <c r="U156" s="1"/>
      <c r="V156" s="130"/>
      <c r="W156" s="118"/>
    </row>
    <row r="157" spans="1:23" ht="16.5" customHeight="1">
      <c r="A157" s="1"/>
      <c r="B157" s="198" t="s">
        <v>42</v>
      </c>
      <c r="C157" s="1"/>
      <c r="D157" s="1"/>
      <c r="E157" s="1"/>
      <c r="F157" s="1"/>
      <c r="G157" s="1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195"/>
      <c r="S157" s="195"/>
      <c r="T157" s="197"/>
      <c r="U157" s="1"/>
      <c r="W157" s="118"/>
    </row>
    <row r="158" spans="22:23" ht="19.5" customHeight="1">
      <c r="V158" s="130"/>
      <c r="W158" s="118"/>
    </row>
    <row r="159" spans="2:23" ht="18.75" customHeight="1">
      <c r="B159" s="196" t="s">
        <v>43</v>
      </c>
      <c r="C159" s="199"/>
      <c r="H159" s="193"/>
      <c r="I159" s="193"/>
      <c r="J159" s="193"/>
      <c r="K159" s="193" t="s">
        <v>169</v>
      </c>
      <c r="L159" s="6" t="s">
        <v>170</v>
      </c>
      <c r="M159" s="6"/>
      <c r="N159" s="6"/>
      <c r="S159" s="113"/>
      <c r="V159" s="130"/>
      <c r="W159" s="118"/>
    </row>
    <row r="160" spans="2:23" ht="30" customHeight="1">
      <c r="B160" s="196" t="s">
        <v>44</v>
      </c>
      <c r="C160" s="116"/>
      <c r="H160" s="195"/>
      <c r="I160" s="115" t="s">
        <v>45</v>
      </c>
      <c r="J160" s="195"/>
      <c r="M160" s="195"/>
      <c r="V160" s="130"/>
      <c r="W160" s="118"/>
    </row>
    <row r="161" spans="22:23" ht="22.5" customHeight="1">
      <c r="V161" s="130"/>
      <c r="W161" s="118"/>
    </row>
    <row r="162" spans="22:23" ht="30" customHeight="1">
      <c r="V162" s="130"/>
      <c r="W162" s="118"/>
    </row>
    <row r="163" spans="22:23" ht="46.5" customHeight="1">
      <c r="V163" s="130"/>
      <c r="W163" s="118"/>
    </row>
    <row r="164" spans="22:23" ht="30" customHeight="1">
      <c r="V164" s="130"/>
      <c r="W164" s="118"/>
    </row>
    <row r="165" spans="22:23" ht="30" customHeight="1">
      <c r="V165" s="130"/>
      <c r="W165" s="118"/>
    </row>
    <row r="166" spans="22:23" ht="63" customHeight="1">
      <c r="V166" s="130"/>
      <c r="W166" s="118"/>
    </row>
    <row r="167" spans="22:23" ht="29.25" customHeight="1">
      <c r="V167" s="130"/>
      <c r="W167" s="118"/>
    </row>
    <row r="168" ht="33" customHeight="1">
      <c r="V168" s="130"/>
    </row>
    <row r="169" ht="21" customHeight="1"/>
    <row r="170" ht="28.5" customHeight="1">
      <c r="V170" s="200"/>
    </row>
    <row r="171" ht="23.25" customHeight="1">
      <c r="V171" s="200"/>
    </row>
    <row r="172" ht="24" customHeight="1"/>
    <row r="173" ht="23.25" customHeight="1"/>
    <row r="174" ht="23.25" customHeight="1"/>
    <row r="175" ht="26.25" customHeight="1"/>
    <row r="176" ht="32.25" customHeight="1"/>
    <row r="177" ht="23.25" customHeight="1"/>
    <row r="178" ht="45" customHeight="1">
      <c r="V178" s="130"/>
    </row>
    <row r="179" ht="30" customHeight="1">
      <c r="V179" s="130"/>
    </row>
    <row r="180" ht="30" customHeight="1">
      <c r="V180" s="200"/>
    </row>
    <row r="181" ht="30" customHeight="1">
      <c r="V181" s="200"/>
    </row>
    <row r="182" ht="30" customHeight="1"/>
    <row r="183" ht="30" customHeight="1"/>
    <row r="184" ht="30" customHeight="1"/>
    <row r="185" ht="30" customHeight="1"/>
    <row r="186" ht="38.25" customHeight="1"/>
    <row r="187" ht="27" customHeight="1"/>
    <row r="188" ht="21.75" customHeight="1"/>
    <row r="189" ht="30" customHeight="1"/>
    <row r="190" ht="30" customHeight="1"/>
    <row r="191" ht="33.75" customHeight="1"/>
    <row r="192" ht="25.5" customHeight="1"/>
    <row r="193" ht="30" customHeight="1">
      <c r="V193" s="130"/>
    </row>
    <row r="194" ht="45" customHeight="1"/>
    <row r="195" ht="30" customHeight="1"/>
    <row r="196" ht="30" customHeight="1"/>
    <row r="197" ht="30" customHeight="1"/>
    <row r="198" ht="34.5" customHeight="1"/>
    <row r="199" ht="30" customHeight="1">
      <c r="V199" s="130"/>
    </row>
    <row r="200" ht="30" customHeight="1">
      <c r="V200" s="130"/>
    </row>
    <row r="207" ht="12" customHeight="1"/>
    <row r="209" ht="13.5" customHeight="1"/>
    <row r="213" ht="15.75" customHeight="1"/>
  </sheetData>
  <sheetProtection/>
  <mergeCells count="62">
    <mergeCell ref="A9:A10"/>
    <mergeCell ref="B9:B10"/>
    <mergeCell ref="C9:C10"/>
    <mergeCell ref="D9:D10"/>
    <mergeCell ref="E9:E10"/>
    <mergeCell ref="F9:H10"/>
    <mergeCell ref="I9:K10"/>
    <mergeCell ref="L9:N10"/>
    <mergeCell ref="O9:Q10"/>
    <mergeCell ref="S9:S10"/>
    <mergeCell ref="T9:T10"/>
    <mergeCell ref="U9:U10"/>
    <mergeCell ref="A13:U13"/>
    <mergeCell ref="A14:U14"/>
    <mergeCell ref="A40:B40"/>
    <mergeCell ref="A41:U41"/>
    <mergeCell ref="A44:B44"/>
    <mergeCell ref="A45:U45"/>
    <mergeCell ref="A74:B74"/>
    <mergeCell ref="A75:U75"/>
    <mergeCell ref="A82:B82"/>
    <mergeCell ref="A83:B83"/>
    <mergeCell ref="A84:C84"/>
    <mergeCell ref="A85:Q85"/>
    <mergeCell ref="A86:Q86"/>
    <mergeCell ref="A87:T87"/>
    <mergeCell ref="A88:T88"/>
    <mergeCell ref="A89:T89"/>
    <mergeCell ref="A90:T90"/>
    <mergeCell ref="A91:B91"/>
    <mergeCell ref="A94:U94"/>
    <mergeCell ref="A99:B99"/>
    <mergeCell ref="A100:U100"/>
    <mergeCell ref="A111:B111"/>
    <mergeCell ref="A112:U112"/>
    <mergeCell ref="A116:B116"/>
    <mergeCell ref="A117:B117"/>
    <mergeCell ref="A118:C118"/>
    <mergeCell ref="A119:Q119"/>
    <mergeCell ref="A120:Q120"/>
    <mergeCell ref="A121:T121"/>
    <mergeCell ref="A122:T122"/>
    <mergeCell ref="A123:T123"/>
    <mergeCell ref="A125:T125"/>
    <mergeCell ref="A127:U127"/>
    <mergeCell ref="A128:B128"/>
    <mergeCell ref="A130:Q130"/>
    <mergeCell ref="A131:Q131"/>
    <mergeCell ref="A124:T124"/>
    <mergeCell ref="A132:T132"/>
    <mergeCell ref="A133:T133"/>
    <mergeCell ref="A134:T134"/>
    <mergeCell ref="A136:U136"/>
    <mergeCell ref="A137:U137"/>
    <mergeCell ref="A140:B140"/>
    <mergeCell ref="H157:Q157"/>
    <mergeCell ref="A141:U141"/>
    <mergeCell ref="A144:B144"/>
    <mergeCell ref="A145:B145"/>
    <mergeCell ref="A146:T146"/>
    <mergeCell ref="A147:B147"/>
    <mergeCell ref="A149:C149"/>
  </mergeCells>
  <printOptions/>
  <pageMargins left="0.3937007874015748" right="0.1968503937007874" top="0.6299212598425197" bottom="0.2362204724409449" header="0.6299212598425197" footer="0"/>
  <pageSetup fitToHeight="7" fitToWidth="1" horizontalDpi="600" verticalDpi="600" orientation="landscape" paperSize="9" scale="63" r:id="rId1"/>
  <rowBreaks count="6" manualBreakCount="6">
    <brk id="22" min="1" max="20" man="1"/>
    <brk id="44" min="1" max="20" man="1"/>
    <brk id="63" min="1" max="20" man="1"/>
    <brk id="91" min="1" max="20" man="1"/>
    <brk id="111" min="1" max="20" man="1"/>
    <brk id="135" min="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2"/>
  <sheetViews>
    <sheetView showZeros="0" tabSelected="1" view="pageBreakPreview" zoomScale="67" zoomScaleNormal="65" zoomScaleSheetLayoutView="67" zoomScalePageLayoutView="0" workbookViewId="0" topLeftCell="A134">
      <selection activeCell="B78" sqref="B78"/>
    </sheetView>
  </sheetViews>
  <sheetFormatPr defaultColWidth="9.140625" defaultRowHeight="15"/>
  <cols>
    <col min="1" max="1" width="6.140625" style="4" customWidth="1"/>
    <col min="2" max="2" width="38.57421875" style="4" customWidth="1"/>
    <col min="3" max="3" width="8.421875" style="4" customWidth="1"/>
    <col min="4" max="4" width="9.7109375" style="4" customWidth="1"/>
    <col min="5" max="5" width="16.57421875" style="4" customWidth="1"/>
    <col min="6" max="6" width="6.57421875" style="4" customWidth="1"/>
    <col min="7" max="7" width="0.42578125" style="4" hidden="1" customWidth="1"/>
    <col min="8" max="8" width="14.140625" style="4" customWidth="1"/>
    <col min="9" max="9" width="6.57421875" style="4" customWidth="1"/>
    <col min="10" max="10" width="0.5625" style="4" hidden="1" customWidth="1"/>
    <col min="11" max="11" width="14.140625" style="4" customWidth="1"/>
    <col min="12" max="12" width="7.8515625" style="4" customWidth="1"/>
    <col min="13" max="13" width="7.421875" style="4" hidden="1" customWidth="1"/>
    <col min="14" max="14" width="14.00390625" style="4" customWidth="1"/>
    <col min="15" max="15" width="7.8515625" style="4" customWidth="1"/>
    <col min="16" max="16" width="18.421875" style="4" hidden="1" customWidth="1"/>
    <col min="17" max="17" width="14.421875" style="4" customWidth="1"/>
    <col min="18" max="18" width="1.28515625" style="4" hidden="1" customWidth="1"/>
    <col min="19" max="19" width="15.00390625" style="4" customWidth="1"/>
    <col min="20" max="20" width="19.8515625" style="4" customWidth="1"/>
    <col min="21" max="21" width="22.00390625" style="4" customWidth="1"/>
    <col min="22" max="22" width="16.8515625" style="4" bestFit="1" customWidth="1"/>
    <col min="23" max="23" width="9.140625" style="4" customWidth="1"/>
    <col min="24" max="24" width="11.00390625" style="4" bestFit="1" customWidth="1"/>
    <col min="25" max="25" width="9.140625" style="4" customWidth="1"/>
    <col min="26" max="225" width="9.140625" style="113" customWidth="1"/>
    <col min="226" max="16384" width="9.140625" style="4" customWidth="1"/>
  </cols>
  <sheetData>
    <row r="1" spans="1:23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1" t="s">
        <v>0</v>
      </c>
      <c r="P1" s="1"/>
      <c r="S1" s="1"/>
      <c r="V1" s="112" t="s">
        <v>115</v>
      </c>
      <c r="W1" s="4">
        <v>6700</v>
      </c>
    </row>
    <row r="2" spans="1:23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 t="str">
        <f>CONCATENATE("штат в кількості ",D151," штатних одиниць")</f>
        <v>штат в кількості 258 штатних одиниць</v>
      </c>
      <c r="P2" s="1"/>
      <c r="W2" s="112"/>
    </row>
    <row r="3" spans="1:15" ht="27.75" customHeight="1">
      <c r="A3" s="111" t="s">
        <v>187</v>
      </c>
      <c r="B3" s="1"/>
      <c r="C3" s="1"/>
      <c r="D3" s="1"/>
      <c r="E3" s="1"/>
      <c r="F3" s="1"/>
      <c r="O3" s="3" t="str">
        <f>CONCATENATE("з місячним фондом заробітної плати ",T151," гривень")</f>
        <v>з місячним фондом заробітної плати 2281594,84 гривень</v>
      </c>
    </row>
    <row r="4" spans="1:20" ht="22.5" customHeight="1">
      <c r="A4" s="114" t="s">
        <v>188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152</v>
      </c>
      <c r="P4" s="3"/>
      <c r="T4" s="4" t="s">
        <v>162</v>
      </c>
    </row>
    <row r="5" spans="2:16" ht="18">
      <c r="B5" s="5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3" t="s">
        <v>185</v>
      </c>
      <c r="P5" s="1"/>
    </row>
    <row r="6" spans="1:20" ht="18">
      <c r="A6" s="6" t="s">
        <v>179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"/>
      <c r="N6" s="5"/>
      <c r="O6" s="1"/>
      <c r="P6" s="1"/>
      <c r="T6" s="1"/>
    </row>
    <row r="7" spans="1:23" ht="24" customHeight="1">
      <c r="A7" s="115" t="s">
        <v>1</v>
      </c>
      <c r="B7" s="1"/>
      <c r="C7" s="1"/>
      <c r="Q7" s="116" t="s">
        <v>2</v>
      </c>
      <c r="R7" s="116"/>
      <c r="S7" s="116"/>
      <c r="T7" s="1"/>
      <c r="V7" s="112" t="s">
        <v>3</v>
      </c>
      <c r="W7" s="4">
        <v>12</v>
      </c>
    </row>
    <row r="8" spans="1:21" ht="27.75" customHeight="1" thickBot="1">
      <c r="A8" s="1" t="s">
        <v>151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3" ht="15" customHeight="1">
      <c r="A9" s="319" t="s">
        <v>4</v>
      </c>
      <c r="B9" s="319" t="s">
        <v>116</v>
      </c>
      <c r="C9" s="321" t="s">
        <v>5</v>
      </c>
      <c r="D9" s="321" t="s">
        <v>6</v>
      </c>
      <c r="E9" s="321" t="s">
        <v>117</v>
      </c>
      <c r="F9" s="323" t="s">
        <v>118</v>
      </c>
      <c r="G9" s="323"/>
      <c r="H9" s="323"/>
      <c r="I9" s="317" t="s">
        <v>120</v>
      </c>
      <c r="J9" s="317"/>
      <c r="K9" s="317"/>
      <c r="L9" s="317" t="s">
        <v>119</v>
      </c>
      <c r="M9" s="317"/>
      <c r="N9" s="317"/>
      <c r="O9" s="317" t="s">
        <v>121</v>
      </c>
      <c r="P9" s="317"/>
      <c r="Q9" s="317"/>
      <c r="R9" s="117"/>
      <c r="S9" s="319" t="s">
        <v>122</v>
      </c>
      <c r="T9" s="319" t="s">
        <v>123</v>
      </c>
      <c r="U9" s="319" t="s">
        <v>124</v>
      </c>
      <c r="W9" s="118" t="str">
        <f aca="true" t="shared" si="0" ref="W9:W81">LEFT(A9,6)</f>
        <v>№ п/п</v>
      </c>
    </row>
    <row r="10" spans="1:23" ht="132" customHeight="1" thickBot="1">
      <c r="A10" s="320"/>
      <c r="B10" s="320"/>
      <c r="C10" s="322"/>
      <c r="D10" s="322"/>
      <c r="E10" s="322"/>
      <c r="F10" s="324"/>
      <c r="G10" s="324"/>
      <c r="H10" s="324"/>
      <c r="I10" s="318"/>
      <c r="J10" s="318"/>
      <c r="K10" s="318"/>
      <c r="L10" s="318"/>
      <c r="M10" s="318"/>
      <c r="N10" s="318"/>
      <c r="O10" s="318"/>
      <c r="P10" s="318"/>
      <c r="Q10" s="318"/>
      <c r="R10" s="119"/>
      <c r="S10" s="320"/>
      <c r="T10" s="320"/>
      <c r="U10" s="320"/>
      <c r="V10" s="1"/>
      <c r="W10" s="118">
        <f t="shared" si="0"/>
      </c>
    </row>
    <row r="11" spans="1:23" ht="23.25" customHeight="1" thickBot="1">
      <c r="A11" s="120"/>
      <c r="B11" s="120"/>
      <c r="C11" s="121"/>
      <c r="D11" s="121"/>
      <c r="E11" s="122" t="s">
        <v>8</v>
      </c>
      <c r="F11" s="123" t="s">
        <v>7</v>
      </c>
      <c r="G11" s="123"/>
      <c r="H11" s="123" t="s">
        <v>8</v>
      </c>
      <c r="I11" s="123" t="s">
        <v>7</v>
      </c>
      <c r="J11" s="123"/>
      <c r="K11" s="123" t="s">
        <v>8</v>
      </c>
      <c r="L11" s="123" t="s">
        <v>7</v>
      </c>
      <c r="M11" s="123"/>
      <c r="N11" s="123" t="s">
        <v>8</v>
      </c>
      <c r="O11" s="123" t="s">
        <v>7</v>
      </c>
      <c r="P11" s="123"/>
      <c r="Q11" s="123" t="s">
        <v>8</v>
      </c>
      <c r="R11" s="123"/>
      <c r="S11" s="122" t="s">
        <v>8</v>
      </c>
      <c r="T11" s="122" t="s">
        <v>8</v>
      </c>
      <c r="U11" s="122" t="s">
        <v>8</v>
      </c>
      <c r="W11" s="118">
        <f t="shared" si="0"/>
      </c>
    </row>
    <row r="12" spans="1:23" ht="27" customHeight="1" thickBot="1">
      <c r="A12" s="97">
        <v>1</v>
      </c>
      <c r="B12" s="97">
        <v>2</v>
      </c>
      <c r="C12" s="97">
        <v>3</v>
      </c>
      <c r="D12" s="97">
        <v>4</v>
      </c>
      <c r="E12" s="97">
        <v>5</v>
      </c>
      <c r="F12" s="97">
        <v>6</v>
      </c>
      <c r="G12" s="97"/>
      <c r="H12" s="97">
        <v>7</v>
      </c>
      <c r="I12" s="97">
        <v>8</v>
      </c>
      <c r="J12" s="97"/>
      <c r="K12" s="97">
        <v>9</v>
      </c>
      <c r="L12" s="97">
        <v>10</v>
      </c>
      <c r="M12" s="97"/>
      <c r="N12" s="97">
        <v>11</v>
      </c>
      <c r="O12" s="97">
        <v>12</v>
      </c>
      <c r="P12" s="97"/>
      <c r="Q12" s="97">
        <v>13</v>
      </c>
      <c r="R12" s="97"/>
      <c r="S12" s="97">
        <v>14</v>
      </c>
      <c r="T12" s="97">
        <v>15</v>
      </c>
      <c r="U12" s="97">
        <v>16</v>
      </c>
      <c r="W12" s="118" t="str">
        <f t="shared" si="0"/>
        <v>1</v>
      </c>
    </row>
    <row r="13" spans="1:23" ht="31.5" customHeight="1" thickBot="1">
      <c r="A13" s="311" t="s">
        <v>9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W13" s="118" t="str">
        <f t="shared" si="0"/>
        <v>1.Зага</v>
      </c>
    </row>
    <row r="14" spans="1:23" ht="30.75" customHeight="1">
      <c r="A14" s="314" t="s">
        <v>107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6"/>
      <c r="W14" s="118" t="str">
        <f t="shared" si="0"/>
        <v>1.1.Ад</v>
      </c>
    </row>
    <row r="15" spans="1:23" ht="73.5" customHeight="1">
      <c r="A15" s="124">
        <v>1</v>
      </c>
      <c r="B15" s="125" t="s">
        <v>173</v>
      </c>
      <c r="C15" s="126">
        <v>18</v>
      </c>
      <c r="D15" s="127">
        <v>1</v>
      </c>
      <c r="E15" s="128">
        <v>10215.7</v>
      </c>
      <c r="F15" s="127">
        <v>30</v>
      </c>
      <c r="G15" s="126">
        <f aca="true" t="shared" si="1" ref="G15:G40">H15*$D15</f>
        <v>3064.71</v>
      </c>
      <c r="H15" s="128">
        <f>E15*F15*D15/100</f>
        <v>3064.71</v>
      </c>
      <c r="I15" s="126">
        <v>5</v>
      </c>
      <c r="J15" s="126">
        <f aca="true" t="shared" si="2" ref="J15:J40">K15*$D15</f>
        <v>510.79</v>
      </c>
      <c r="K15" s="128">
        <f aca="true" t="shared" si="3" ref="K15:K23">ROUND(E15*I15/100,2)</f>
        <v>510.79</v>
      </c>
      <c r="L15" s="126">
        <v>15</v>
      </c>
      <c r="M15" s="126">
        <f>N15*D15</f>
        <v>1532.36</v>
      </c>
      <c r="N15" s="128">
        <f>ROUND(E15*L15/100,2)</f>
        <v>1532.36</v>
      </c>
      <c r="O15" s="126">
        <v>100</v>
      </c>
      <c r="P15" s="126">
        <f aca="true" t="shared" si="4" ref="P15:P40">Q15*D15</f>
        <v>10215.7</v>
      </c>
      <c r="Q15" s="128">
        <f aca="true" t="shared" si="5" ref="Q15:Q23">ROUND(E15*O15/100,2)</f>
        <v>10215.7</v>
      </c>
      <c r="R15" s="128">
        <f>S15*D15</f>
        <v>0</v>
      </c>
      <c r="S15" s="128">
        <f aca="true" t="shared" si="6" ref="S15:S40">MAX($W$1-ROUND(ROUND((E15+H15+N15+K15+Q15)*D15,2)/D15,2),0)</f>
        <v>0</v>
      </c>
      <c r="T15" s="128">
        <f aca="true" t="shared" si="7" ref="T15:T40">ROUND((E15+H15+N15+K15+Q15)*D15,2)</f>
        <v>25539.26</v>
      </c>
      <c r="U15" s="129">
        <f aca="true" t="shared" si="8" ref="U15:U40">ROUND(SUM(T15*$W$7),2)</f>
        <v>306471.12</v>
      </c>
      <c r="V15" s="130">
        <f aca="true" t="shared" si="9" ref="V15:V40">IF(D15&gt;0,IF((U15/D15-Q15)&gt;$W$1,0,($W$1-(U15/D15-Q15))*D15),0)</f>
        <v>0</v>
      </c>
      <c r="W15" s="118" t="str">
        <f t="shared" si="0"/>
        <v>1</v>
      </c>
    </row>
    <row r="16" spans="1:23" ht="57.75" customHeight="1">
      <c r="A16" s="124">
        <v>2</v>
      </c>
      <c r="B16" s="125" t="s">
        <v>174</v>
      </c>
      <c r="C16" s="131">
        <v>0.95</v>
      </c>
      <c r="D16" s="127">
        <v>1</v>
      </c>
      <c r="E16" s="128">
        <f>E15*0.95</f>
        <v>9704.915</v>
      </c>
      <c r="F16" s="126">
        <v>30</v>
      </c>
      <c r="G16" s="126">
        <f t="shared" si="1"/>
        <v>2911.4745000000003</v>
      </c>
      <c r="H16" s="128">
        <f>E16*F16*D16/100</f>
        <v>2911.4745000000003</v>
      </c>
      <c r="I16" s="126">
        <v>5</v>
      </c>
      <c r="J16" s="126">
        <f t="shared" si="2"/>
        <v>485.25</v>
      </c>
      <c r="K16" s="128">
        <f t="shared" si="3"/>
        <v>485.25</v>
      </c>
      <c r="L16" s="126">
        <v>15</v>
      </c>
      <c r="M16" s="126">
        <f aca="true" t="shared" si="10" ref="M16:M40">N16*D16</f>
        <v>1455.74</v>
      </c>
      <c r="N16" s="128">
        <f>ROUND(E16*L16/100,2)</f>
        <v>1455.74</v>
      </c>
      <c r="O16" s="126">
        <v>25</v>
      </c>
      <c r="P16" s="126">
        <f t="shared" si="4"/>
        <v>2426.23</v>
      </c>
      <c r="Q16" s="128">
        <f t="shared" si="5"/>
        <v>2426.23</v>
      </c>
      <c r="R16" s="128">
        <f aca="true" t="shared" si="11" ref="R16:R40">S16*D16</f>
        <v>0</v>
      </c>
      <c r="S16" s="128">
        <f t="shared" si="6"/>
        <v>0</v>
      </c>
      <c r="T16" s="128">
        <f t="shared" si="7"/>
        <v>16983.61</v>
      </c>
      <c r="U16" s="129">
        <f t="shared" si="8"/>
        <v>203803.32</v>
      </c>
      <c r="V16" s="130">
        <f t="shared" si="9"/>
        <v>0</v>
      </c>
      <c r="W16" s="118" t="str">
        <f t="shared" si="0"/>
        <v>2</v>
      </c>
    </row>
    <row r="17" spans="1:23" ht="59.25" customHeight="1">
      <c r="A17" s="124">
        <v>3</v>
      </c>
      <c r="B17" s="125" t="s">
        <v>175</v>
      </c>
      <c r="C17" s="131">
        <v>0.9</v>
      </c>
      <c r="D17" s="127">
        <v>1</v>
      </c>
      <c r="E17" s="128">
        <f>E15*C17</f>
        <v>9194.130000000001</v>
      </c>
      <c r="F17" s="126">
        <v>30</v>
      </c>
      <c r="G17" s="126">
        <f t="shared" si="1"/>
        <v>2758.239</v>
      </c>
      <c r="H17" s="128">
        <f>E17*F17*D17/100</f>
        <v>2758.239</v>
      </c>
      <c r="I17" s="126">
        <v>5</v>
      </c>
      <c r="J17" s="126">
        <f t="shared" si="2"/>
        <v>459.71</v>
      </c>
      <c r="K17" s="128">
        <f t="shared" si="3"/>
        <v>459.71</v>
      </c>
      <c r="L17" s="126">
        <v>15</v>
      </c>
      <c r="M17" s="126">
        <f t="shared" si="10"/>
        <v>1379.12</v>
      </c>
      <c r="N17" s="128">
        <f>ROUND(E17*L17/100,2)</f>
        <v>1379.12</v>
      </c>
      <c r="O17" s="126">
        <v>10</v>
      </c>
      <c r="P17" s="126">
        <f t="shared" si="4"/>
        <v>919.41</v>
      </c>
      <c r="Q17" s="128">
        <f t="shared" si="5"/>
        <v>919.41</v>
      </c>
      <c r="R17" s="128">
        <f t="shared" si="11"/>
        <v>0</v>
      </c>
      <c r="S17" s="128">
        <f t="shared" si="6"/>
        <v>0</v>
      </c>
      <c r="T17" s="128">
        <f t="shared" si="7"/>
        <v>14710.61</v>
      </c>
      <c r="U17" s="129">
        <f t="shared" si="8"/>
        <v>176527.32</v>
      </c>
      <c r="V17" s="130">
        <f t="shared" si="9"/>
        <v>0</v>
      </c>
      <c r="W17" s="118" t="str">
        <f t="shared" si="0"/>
        <v>3</v>
      </c>
    </row>
    <row r="18" spans="1:23" ht="74.25" customHeight="1">
      <c r="A18" s="124">
        <v>4</v>
      </c>
      <c r="B18" s="125" t="s">
        <v>156</v>
      </c>
      <c r="C18" s="131">
        <v>0.9</v>
      </c>
      <c r="D18" s="128">
        <v>0.75</v>
      </c>
      <c r="E18" s="128">
        <f>E15*C18</f>
        <v>9194.130000000001</v>
      </c>
      <c r="F18" s="126">
        <v>20</v>
      </c>
      <c r="G18" s="126">
        <f t="shared" si="1"/>
        <v>1034.339625</v>
      </c>
      <c r="H18" s="128">
        <f>E18*F18*D18/100</f>
        <v>1379.1195</v>
      </c>
      <c r="I18" s="126">
        <v>5</v>
      </c>
      <c r="J18" s="126">
        <f t="shared" si="2"/>
        <v>344.78249999999997</v>
      </c>
      <c r="K18" s="128">
        <f t="shared" si="3"/>
        <v>459.71</v>
      </c>
      <c r="L18" s="126">
        <v>15</v>
      </c>
      <c r="M18" s="126">
        <f t="shared" si="10"/>
        <v>1034.34</v>
      </c>
      <c r="N18" s="128">
        <f>ROUND(E18*L18/100,2)</f>
        <v>1379.12</v>
      </c>
      <c r="O18" s="126"/>
      <c r="P18" s="126">
        <f t="shared" si="4"/>
        <v>0</v>
      </c>
      <c r="Q18" s="128">
        <f t="shared" si="5"/>
        <v>0</v>
      </c>
      <c r="R18" s="128">
        <f t="shared" si="11"/>
        <v>0</v>
      </c>
      <c r="S18" s="128">
        <f t="shared" si="6"/>
        <v>0</v>
      </c>
      <c r="T18" s="128">
        <f t="shared" si="7"/>
        <v>9309.06</v>
      </c>
      <c r="U18" s="129">
        <f t="shared" si="8"/>
        <v>111708.72</v>
      </c>
      <c r="V18" s="130">
        <f t="shared" si="9"/>
        <v>0</v>
      </c>
      <c r="W18" s="118" t="str">
        <f t="shared" si="0"/>
        <v>4</v>
      </c>
    </row>
    <row r="19" spans="1:23" ht="45.75" customHeight="1">
      <c r="A19" s="124">
        <v>5</v>
      </c>
      <c r="B19" s="125" t="s">
        <v>70</v>
      </c>
      <c r="C19" s="126">
        <v>13</v>
      </c>
      <c r="D19" s="127">
        <v>1</v>
      </c>
      <c r="E19" s="128">
        <v>7223.7</v>
      </c>
      <c r="F19" s="126">
        <v>30</v>
      </c>
      <c r="G19" s="126">
        <f t="shared" si="1"/>
        <v>2167.11</v>
      </c>
      <c r="H19" s="128">
        <f aca="true" t="shared" si="12" ref="H19:H40">E19*F19/100</f>
        <v>2167.11</v>
      </c>
      <c r="I19" s="126">
        <v>5</v>
      </c>
      <c r="J19" s="126">
        <f t="shared" si="2"/>
        <v>361.19</v>
      </c>
      <c r="K19" s="128">
        <f t="shared" si="3"/>
        <v>361.19</v>
      </c>
      <c r="L19" s="126">
        <v>0</v>
      </c>
      <c r="M19" s="126">
        <f t="shared" si="10"/>
        <v>0</v>
      </c>
      <c r="N19" s="128">
        <f>ROUND(E19*L19/100*D19,2)</f>
        <v>0</v>
      </c>
      <c r="O19" s="126">
        <v>0</v>
      </c>
      <c r="P19" s="126">
        <f t="shared" si="4"/>
        <v>0</v>
      </c>
      <c r="Q19" s="128">
        <f t="shared" si="5"/>
        <v>0</v>
      </c>
      <c r="R19" s="128">
        <f t="shared" si="11"/>
        <v>0</v>
      </c>
      <c r="S19" s="128">
        <f t="shared" si="6"/>
        <v>0</v>
      </c>
      <c r="T19" s="128">
        <f t="shared" si="7"/>
        <v>9752</v>
      </c>
      <c r="U19" s="129">
        <f>ROUND(SUM(T19*$W$7),2)</f>
        <v>117024</v>
      </c>
      <c r="V19" s="130">
        <f t="shared" si="9"/>
        <v>0</v>
      </c>
      <c r="W19" s="118" t="str">
        <f t="shared" si="0"/>
        <v>5</v>
      </c>
    </row>
    <row r="20" spans="1:23" ht="57" customHeight="1">
      <c r="A20" s="124"/>
      <c r="B20" s="125" t="s">
        <v>71</v>
      </c>
      <c r="C20" s="126">
        <v>13</v>
      </c>
      <c r="D20" s="127">
        <v>1</v>
      </c>
      <c r="E20" s="128">
        <v>7223.7</v>
      </c>
      <c r="F20" s="126">
        <v>30</v>
      </c>
      <c r="G20" s="126">
        <f t="shared" si="1"/>
        <v>2167.11</v>
      </c>
      <c r="H20" s="128">
        <f t="shared" si="12"/>
        <v>2167.11</v>
      </c>
      <c r="I20" s="126">
        <v>5</v>
      </c>
      <c r="J20" s="126">
        <f t="shared" si="2"/>
        <v>361.19</v>
      </c>
      <c r="K20" s="128">
        <f t="shared" si="3"/>
        <v>361.19</v>
      </c>
      <c r="L20" s="126"/>
      <c r="M20" s="126">
        <f t="shared" si="10"/>
        <v>0</v>
      </c>
      <c r="N20" s="128"/>
      <c r="O20" s="126"/>
      <c r="P20" s="126">
        <f t="shared" si="4"/>
        <v>0</v>
      </c>
      <c r="Q20" s="128">
        <f t="shared" si="5"/>
        <v>0</v>
      </c>
      <c r="R20" s="128">
        <f t="shared" si="11"/>
        <v>0</v>
      </c>
      <c r="S20" s="128">
        <f t="shared" si="6"/>
        <v>0</v>
      </c>
      <c r="T20" s="128">
        <f t="shared" si="7"/>
        <v>9752</v>
      </c>
      <c r="U20" s="129">
        <f>ROUND(SUM(T20*$W$7),2)</f>
        <v>117024</v>
      </c>
      <c r="V20" s="130">
        <f t="shared" si="9"/>
        <v>0</v>
      </c>
      <c r="W20" s="118">
        <f t="shared" si="0"/>
      </c>
    </row>
    <row r="21" spans="1:23" ht="79.5" customHeight="1">
      <c r="A21" s="124"/>
      <c r="B21" s="125" t="s">
        <v>182</v>
      </c>
      <c r="C21" s="126">
        <v>13</v>
      </c>
      <c r="D21" s="127">
        <v>1</v>
      </c>
      <c r="E21" s="128">
        <v>7223.7</v>
      </c>
      <c r="F21" s="126">
        <v>30</v>
      </c>
      <c r="G21" s="126">
        <f t="shared" si="1"/>
        <v>2167.11</v>
      </c>
      <c r="H21" s="128">
        <f t="shared" si="12"/>
        <v>2167.11</v>
      </c>
      <c r="I21" s="126">
        <v>5</v>
      </c>
      <c r="J21" s="126">
        <f t="shared" si="2"/>
        <v>361.19</v>
      </c>
      <c r="K21" s="128">
        <f t="shared" si="3"/>
        <v>361.19</v>
      </c>
      <c r="L21" s="126"/>
      <c r="M21" s="126">
        <f t="shared" si="10"/>
        <v>0</v>
      </c>
      <c r="N21" s="128"/>
      <c r="O21" s="126">
        <v>15</v>
      </c>
      <c r="P21" s="126">
        <f t="shared" si="4"/>
        <v>1083.56</v>
      </c>
      <c r="Q21" s="128">
        <f t="shared" si="5"/>
        <v>1083.56</v>
      </c>
      <c r="R21" s="128">
        <f t="shared" si="11"/>
        <v>0</v>
      </c>
      <c r="S21" s="128">
        <f t="shared" si="6"/>
        <v>0</v>
      </c>
      <c r="T21" s="128">
        <f t="shared" si="7"/>
        <v>10835.56</v>
      </c>
      <c r="U21" s="129">
        <f>ROUND(SUM(T21*$W$7),2)</f>
        <v>130026.72</v>
      </c>
      <c r="V21" s="130">
        <f t="shared" si="9"/>
        <v>0</v>
      </c>
      <c r="W21" s="118">
        <f t="shared" si="0"/>
      </c>
    </row>
    <row r="22" spans="1:23" ht="74.25" customHeight="1">
      <c r="A22" s="124"/>
      <c r="B22" s="125" t="s">
        <v>181</v>
      </c>
      <c r="C22" s="126">
        <v>13</v>
      </c>
      <c r="D22" s="127">
        <v>1</v>
      </c>
      <c r="E22" s="128">
        <v>7223.7</v>
      </c>
      <c r="F22" s="126">
        <v>30</v>
      </c>
      <c r="G22" s="126">
        <f>H22*$D22</f>
        <v>2167.11</v>
      </c>
      <c r="H22" s="128">
        <f>E22*F22/100</f>
        <v>2167.11</v>
      </c>
      <c r="I22" s="126">
        <v>5</v>
      </c>
      <c r="J22" s="126">
        <f>K22*$D22</f>
        <v>361.19</v>
      </c>
      <c r="K22" s="128">
        <f>ROUND(E22*I22/100,2)</f>
        <v>361.19</v>
      </c>
      <c r="L22" s="126"/>
      <c r="M22" s="126">
        <f>N22*D22</f>
        <v>0</v>
      </c>
      <c r="N22" s="128"/>
      <c r="O22" s="126">
        <v>40</v>
      </c>
      <c r="P22" s="126">
        <f>Q22*D22</f>
        <v>2889.48</v>
      </c>
      <c r="Q22" s="128">
        <f>ROUND(E22*O22/100,2)</f>
        <v>2889.48</v>
      </c>
      <c r="R22" s="128">
        <f>S22*D22</f>
        <v>0</v>
      </c>
      <c r="S22" s="128">
        <f>MAX($W$1-ROUND(ROUND((E22+H22+N22+K22+Q22)*D22,2)/D22,2),0)</f>
        <v>0</v>
      </c>
      <c r="T22" s="128">
        <f>ROUND((E22+H22+N22+K22+Q22)*D22,2)</f>
        <v>12641.48</v>
      </c>
      <c r="U22" s="129">
        <f>ROUND(SUM(T22*$W$7),2)</f>
        <v>151697.76</v>
      </c>
      <c r="V22" s="130"/>
      <c r="W22" s="118"/>
    </row>
    <row r="23" spans="1:23" ht="81.75" customHeight="1">
      <c r="A23" s="124"/>
      <c r="B23" s="125" t="s">
        <v>180</v>
      </c>
      <c r="C23" s="126">
        <v>13</v>
      </c>
      <c r="D23" s="127">
        <v>1</v>
      </c>
      <c r="E23" s="128">
        <v>7223.7</v>
      </c>
      <c r="F23" s="126">
        <v>30</v>
      </c>
      <c r="G23" s="126">
        <f t="shared" si="1"/>
        <v>2167.11</v>
      </c>
      <c r="H23" s="128">
        <f t="shared" si="12"/>
        <v>2167.11</v>
      </c>
      <c r="I23" s="126">
        <v>5</v>
      </c>
      <c r="J23" s="126">
        <f t="shared" si="2"/>
        <v>361.19</v>
      </c>
      <c r="K23" s="128">
        <f t="shared" si="3"/>
        <v>361.19</v>
      </c>
      <c r="L23" s="126"/>
      <c r="M23" s="126">
        <f t="shared" si="10"/>
        <v>0</v>
      </c>
      <c r="N23" s="128"/>
      <c r="O23" s="126">
        <v>40</v>
      </c>
      <c r="P23" s="126">
        <f t="shared" si="4"/>
        <v>2889.48</v>
      </c>
      <c r="Q23" s="128">
        <f t="shared" si="5"/>
        <v>2889.48</v>
      </c>
      <c r="R23" s="128">
        <f t="shared" si="11"/>
        <v>0</v>
      </c>
      <c r="S23" s="128">
        <f t="shared" si="6"/>
        <v>0</v>
      </c>
      <c r="T23" s="128">
        <f t="shared" si="7"/>
        <v>12641.48</v>
      </c>
      <c r="U23" s="129">
        <f>ROUND(SUM(T23*$W$7),2)</f>
        <v>151697.76</v>
      </c>
      <c r="V23" s="130">
        <f t="shared" si="9"/>
        <v>0</v>
      </c>
      <c r="W23" s="118">
        <f t="shared" si="0"/>
      </c>
    </row>
    <row r="24" spans="1:23" ht="55.5" customHeight="1">
      <c r="A24" s="124">
        <v>6</v>
      </c>
      <c r="B24" s="125" t="s">
        <v>72</v>
      </c>
      <c r="C24" s="126">
        <v>13</v>
      </c>
      <c r="D24" s="127">
        <v>1</v>
      </c>
      <c r="E24" s="128">
        <v>7223.7</v>
      </c>
      <c r="F24" s="126">
        <v>30</v>
      </c>
      <c r="G24" s="126">
        <f t="shared" si="1"/>
        <v>2167.11</v>
      </c>
      <c r="H24" s="128">
        <f t="shared" si="12"/>
        <v>2167.11</v>
      </c>
      <c r="I24" s="126">
        <v>5</v>
      </c>
      <c r="J24" s="126">
        <f t="shared" si="2"/>
        <v>361.19</v>
      </c>
      <c r="K24" s="128">
        <f>ROUND(E24*I24/100*D24,2)</f>
        <v>361.19</v>
      </c>
      <c r="L24" s="126"/>
      <c r="M24" s="126">
        <f t="shared" si="10"/>
        <v>0</v>
      </c>
      <c r="N24" s="128">
        <f>ROUND(E24*L24/100,2)</f>
        <v>0</v>
      </c>
      <c r="O24" s="126">
        <v>0</v>
      </c>
      <c r="P24" s="126">
        <f t="shared" si="4"/>
        <v>0</v>
      </c>
      <c r="Q24" s="128">
        <f>E24*O24/100</f>
        <v>0</v>
      </c>
      <c r="R24" s="128">
        <f t="shared" si="11"/>
        <v>0</v>
      </c>
      <c r="S24" s="128">
        <f t="shared" si="6"/>
        <v>0</v>
      </c>
      <c r="T24" s="128">
        <f t="shared" si="7"/>
        <v>9752</v>
      </c>
      <c r="U24" s="129">
        <f t="shared" si="8"/>
        <v>117024</v>
      </c>
      <c r="V24" s="130">
        <f t="shared" si="9"/>
        <v>0</v>
      </c>
      <c r="W24" s="118" t="str">
        <f t="shared" si="0"/>
        <v>6</v>
      </c>
    </row>
    <row r="25" spans="1:23" ht="35.25" customHeight="1">
      <c r="A25" s="124">
        <v>7</v>
      </c>
      <c r="B25" s="125" t="s">
        <v>11</v>
      </c>
      <c r="C25" s="126">
        <v>13</v>
      </c>
      <c r="D25" s="127">
        <v>1</v>
      </c>
      <c r="E25" s="128">
        <v>7223.7</v>
      </c>
      <c r="F25" s="126">
        <v>20</v>
      </c>
      <c r="G25" s="126">
        <f t="shared" si="1"/>
        <v>1444.74</v>
      </c>
      <c r="H25" s="128">
        <f t="shared" si="12"/>
        <v>1444.74</v>
      </c>
      <c r="I25" s="126">
        <v>5</v>
      </c>
      <c r="J25" s="126">
        <f t="shared" si="2"/>
        <v>361.19</v>
      </c>
      <c r="K25" s="128">
        <f>ROUND(E25*I25/100*D25,2)</f>
        <v>361.19</v>
      </c>
      <c r="L25" s="126"/>
      <c r="M25" s="126">
        <f t="shared" si="10"/>
        <v>0</v>
      </c>
      <c r="N25" s="128">
        <f>ROUND(E25*L25/100,2)</f>
        <v>0</v>
      </c>
      <c r="O25" s="126">
        <v>0</v>
      </c>
      <c r="P25" s="126">
        <f t="shared" si="4"/>
        <v>0</v>
      </c>
      <c r="Q25" s="128">
        <f>E25*O25/100</f>
        <v>0</v>
      </c>
      <c r="R25" s="128">
        <f t="shared" si="11"/>
        <v>0</v>
      </c>
      <c r="S25" s="128">
        <f t="shared" si="6"/>
        <v>0</v>
      </c>
      <c r="T25" s="128">
        <f t="shared" si="7"/>
        <v>9029.63</v>
      </c>
      <c r="U25" s="129">
        <f t="shared" si="8"/>
        <v>108355.56</v>
      </c>
      <c r="V25" s="130">
        <f t="shared" si="9"/>
        <v>0</v>
      </c>
      <c r="W25" s="118" t="str">
        <f t="shared" si="0"/>
        <v>7</v>
      </c>
    </row>
    <row r="26" spans="1:23" ht="30.75" customHeight="1">
      <c r="A26" s="124">
        <v>8</v>
      </c>
      <c r="B26" s="125" t="s">
        <v>12</v>
      </c>
      <c r="C26" s="126">
        <v>12</v>
      </c>
      <c r="D26" s="127">
        <v>1</v>
      </c>
      <c r="E26" s="128">
        <v>6746.3</v>
      </c>
      <c r="F26" s="126">
        <v>20</v>
      </c>
      <c r="G26" s="126">
        <f t="shared" si="1"/>
        <v>1349.26</v>
      </c>
      <c r="H26" s="128">
        <f t="shared" si="12"/>
        <v>1349.26</v>
      </c>
      <c r="I26" s="126">
        <v>5</v>
      </c>
      <c r="J26" s="126">
        <f t="shared" si="2"/>
        <v>337.32</v>
      </c>
      <c r="K26" s="128">
        <f>ROUND(E26*I26/100*D26,2)</f>
        <v>337.32</v>
      </c>
      <c r="L26" s="126"/>
      <c r="M26" s="126">
        <f t="shared" si="10"/>
        <v>0</v>
      </c>
      <c r="N26" s="128"/>
      <c r="O26" s="126"/>
      <c r="P26" s="126">
        <f t="shared" si="4"/>
        <v>0</v>
      </c>
      <c r="Q26" s="128"/>
      <c r="R26" s="128">
        <f t="shared" si="11"/>
        <v>0</v>
      </c>
      <c r="S26" s="128">
        <f t="shared" si="6"/>
        <v>0</v>
      </c>
      <c r="T26" s="128">
        <f t="shared" si="7"/>
        <v>8432.88</v>
      </c>
      <c r="U26" s="129">
        <f t="shared" si="8"/>
        <v>101194.56</v>
      </c>
      <c r="V26" s="130">
        <f t="shared" si="9"/>
        <v>0</v>
      </c>
      <c r="W26" s="118" t="str">
        <f t="shared" si="0"/>
        <v>8</v>
      </c>
    </row>
    <row r="27" spans="1:23" ht="28.5" customHeight="1">
      <c r="A27" s="124"/>
      <c r="B27" s="125" t="s">
        <v>12</v>
      </c>
      <c r="C27" s="126">
        <v>14</v>
      </c>
      <c r="D27" s="127">
        <v>1</v>
      </c>
      <c r="E27" s="128">
        <v>7701.4</v>
      </c>
      <c r="F27" s="126">
        <v>30</v>
      </c>
      <c r="G27" s="126">
        <f t="shared" si="1"/>
        <v>2310.42</v>
      </c>
      <c r="H27" s="128">
        <f t="shared" si="12"/>
        <v>2310.42</v>
      </c>
      <c r="I27" s="126">
        <v>5</v>
      </c>
      <c r="J27" s="126">
        <f t="shared" si="2"/>
        <v>385.07</v>
      </c>
      <c r="K27" s="128">
        <f>ROUND(E27*I27/100*D27,2)</f>
        <v>385.07</v>
      </c>
      <c r="L27" s="126"/>
      <c r="M27" s="126">
        <f t="shared" si="10"/>
        <v>0</v>
      </c>
      <c r="N27" s="128"/>
      <c r="O27" s="126"/>
      <c r="P27" s="126">
        <f t="shared" si="4"/>
        <v>0</v>
      </c>
      <c r="Q27" s="128"/>
      <c r="R27" s="128">
        <f t="shared" si="11"/>
        <v>0</v>
      </c>
      <c r="S27" s="128">
        <f t="shared" si="6"/>
        <v>0</v>
      </c>
      <c r="T27" s="128">
        <f t="shared" si="7"/>
        <v>10396.89</v>
      </c>
      <c r="U27" s="129">
        <f t="shared" si="8"/>
        <v>124762.68</v>
      </c>
      <c r="V27" s="130">
        <f t="shared" si="9"/>
        <v>0</v>
      </c>
      <c r="W27" s="118">
        <f t="shared" si="0"/>
      </c>
    </row>
    <row r="28" spans="1:23" ht="46.5" customHeight="1">
      <c r="A28" s="124">
        <v>9</v>
      </c>
      <c r="B28" s="125" t="s">
        <v>178</v>
      </c>
      <c r="C28" s="126">
        <v>13</v>
      </c>
      <c r="D28" s="127">
        <v>1</v>
      </c>
      <c r="E28" s="128">
        <v>7223.7</v>
      </c>
      <c r="F28" s="126">
        <v>20</v>
      </c>
      <c r="G28" s="126">
        <f t="shared" si="1"/>
        <v>1444.74</v>
      </c>
      <c r="H28" s="128">
        <f t="shared" si="12"/>
        <v>1444.74</v>
      </c>
      <c r="I28" s="126">
        <v>5</v>
      </c>
      <c r="J28" s="126">
        <f t="shared" si="2"/>
        <v>361.19</v>
      </c>
      <c r="K28" s="128">
        <f aca="true" t="shared" si="13" ref="K28:K39">ROUND(E28*I28/100,2)</f>
        <v>361.19</v>
      </c>
      <c r="L28" s="126"/>
      <c r="M28" s="126">
        <f t="shared" si="10"/>
        <v>0</v>
      </c>
      <c r="N28" s="128">
        <f>ROUND(E28*L28/100*D28,2)</f>
        <v>0</v>
      </c>
      <c r="O28" s="126">
        <v>15</v>
      </c>
      <c r="P28" s="126">
        <f t="shared" si="4"/>
        <v>1083.555</v>
      </c>
      <c r="Q28" s="132">
        <f>E28*O28/100</f>
        <v>1083.555</v>
      </c>
      <c r="R28" s="128">
        <f t="shared" si="11"/>
        <v>0</v>
      </c>
      <c r="S28" s="128">
        <f t="shared" si="6"/>
        <v>0</v>
      </c>
      <c r="T28" s="128">
        <f t="shared" si="7"/>
        <v>10113.19</v>
      </c>
      <c r="U28" s="129">
        <f t="shared" si="8"/>
        <v>121358.28</v>
      </c>
      <c r="V28" s="130">
        <f t="shared" si="9"/>
        <v>0</v>
      </c>
      <c r="W28" s="118" t="str">
        <f t="shared" si="0"/>
        <v>9</v>
      </c>
    </row>
    <row r="29" spans="1:23" ht="52.5" customHeight="1">
      <c r="A29" s="124"/>
      <c r="B29" s="125" t="s">
        <v>51</v>
      </c>
      <c r="C29" s="126">
        <v>13</v>
      </c>
      <c r="D29" s="127">
        <v>1</v>
      </c>
      <c r="E29" s="128">
        <v>7223.7</v>
      </c>
      <c r="F29" s="126">
        <v>10</v>
      </c>
      <c r="G29" s="126">
        <f>H29*$D29</f>
        <v>722.37</v>
      </c>
      <c r="H29" s="128">
        <f>E29*F29/100</f>
        <v>722.37</v>
      </c>
      <c r="I29" s="126">
        <v>5</v>
      </c>
      <c r="J29" s="126">
        <f t="shared" si="2"/>
        <v>361.19</v>
      </c>
      <c r="K29" s="128">
        <f t="shared" si="13"/>
        <v>361.19</v>
      </c>
      <c r="L29" s="126"/>
      <c r="M29" s="126">
        <f>N29*D29</f>
        <v>0</v>
      </c>
      <c r="N29" s="128">
        <f>ROUND(E29*L29/100*D29,2)</f>
        <v>0</v>
      </c>
      <c r="O29" s="126"/>
      <c r="P29" s="126">
        <f t="shared" si="4"/>
        <v>0</v>
      </c>
      <c r="Q29" s="128"/>
      <c r="R29" s="128">
        <f t="shared" si="11"/>
        <v>0</v>
      </c>
      <c r="S29" s="128">
        <f t="shared" si="6"/>
        <v>0</v>
      </c>
      <c r="T29" s="128">
        <f t="shared" si="7"/>
        <v>8307.26</v>
      </c>
      <c r="U29" s="129">
        <f t="shared" si="8"/>
        <v>99687.12</v>
      </c>
      <c r="V29" s="130">
        <f t="shared" si="9"/>
        <v>0</v>
      </c>
      <c r="W29" s="118">
        <f>LEFT(A29,6)</f>
      </c>
    </row>
    <row r="30" spans="1:23" ht="44.25" customHeight="1">
      <c r="A30" s="124"/>
      <c r="B30" s="125" t="s">
        <v>51</v>
      </c>
      <c r="C30" s="126">
        <v>13</v>
      </c>
      <c r="D30" s="127">
        <v>4</v>
      </c>
      <c r="E30" s="128">
        <v>7223.7</v>
      </c>
      <c r="F30" s="126">
        <v>30</v>
      </c>
      <c r="G30" s="126">
        <f t="shared" si="1"/>
        <v>8668.44</v>
      </c>
      <c r="H30" s="128">
        <f t="shared" si="12"/>
        <v>2167.11</v>
      </c>
      <c r="I30" s="126">
        <v>5</v>
      </c>
      <c r="J30" s="126">
        <f t="shared" si="2"/>
        <v>1444.76</v>
      </c>
      <c r="K30" s="128">
        <f t="shared" si="13"/>
        <v>361.19</v>
      </c>
      <c r="L30" s="126"/>
      <c r="M30" s="126">
        <f t="shared" si="10"/>
        <v>0</v>
      </c>
      <c r="N30" s="128"/>
      <c r="O30" s="126"/>
      <c r="P30" s="126">
        <f t="shared" si="4"/>
        <v>0</v>
      </c>
      <c r="Q30" s="128"/>
      <c r="R30" s="128">
        <f t="shared" si="11"/>
        <v>0</v>
      </c>
      <c r="S30" s="128">
        <f t="shared" si="6"/>
        <v>0</v>
      </c>
      <c r="T30" s="128">
        <f t="shared" si="7"/>
        <v>39008</v>
      </c>
      <c r="U30" s="129">
        <f t="shared" si="8"/>
        <v>468096</v>
      </c>
      <c r="V30" s="130">
        <f t="shared" si="9"/>
        <v>0</v>
      </c>
      <c r="W30" s="118">
        <f t="shared" si="0"/>
      </c>
    </row>
    <row r="31" spans="1:23" ht="47.25" customHeight="1">
      <c r="A31" s="124"/>
      <c r="B31" s="125" t="s">
        <v>51</v>
      </c>
      <c r="C31" s="126">
        <v>13</v>
      </c>
      <c r="D31" s="127">
        <v>3</v>
      </c>
      <c r="E31" s="128">
        <v>7223.7</v>
      </c>
      <c r="F31" s="126">
        <v>20</v>
      </c>
      <c r="G31" s="126">
        <f t="shared" si="1"/>
        <v>4334.22</v>
      </c>
      <c r="H31" s="128">
        <f t="shared" si="12"/>
        <v>1444.74</v>
      </c>
      <c r="I31" s="126">
        <v>5</v>
      </c>
      <c r="J31" s="126">
        <f t="shared" si="2"/>
        <v>1083.57</v>
      </c>
      <c r="K31" s="128">
        <f t="shared" si="13"/>
        <v>361.19</v>
      </c>
      <c r="L31" s="126"/>
      <c r="M31" s="126">
        <f t="shared" si="10"/>
        <v>0</v>
      </c>
      <c r="N31" s="128"/>
      <c r="O31" s="126"/>
      <c r="P31" s="126">
        <f t="shared" si="4"/>
        <v>0</v>
      </c>
      <c r="Q31" s="128"/>
      <c r="R31" s="128">
        <f t="shared" si="11"/>
        <v>0</v>
      </c>
      <c r="S31" s="128">
        <f t="shared" si="6"/>
        <v>0</v>
      </c>
      <c r="T31" s="128">
        <f t="shared" si="7"/>
        <v>27088.89</v>
      </c>
      <c r="U31" s="129">
        <f t="shared" si="8"/>
        <v>325066.68</v>
      </c>
      <c r="V31" s="130">
        <f t="shared" si="9"/>
        <v>0</v>
      </c>
      <c r="W31" s="118">
        <f t="shared" si="0"/>
      </c>
    </row>
    <row r="32" spans="1:23" ht="47.25" customHeight="1">
      <c r="A32" s="124">
        <v>10</v>
      </c>
      <c r="B32" s="125" t="s">
        <v>73</v>
      </c>
      <c r="C32" s="126">
        <v>13</v>
      </c>
      <c r="D32" s="127">
        <v>1</v>
      </c>
      <c r="E32" s="128">
        <v>7223.7</v>
      </c>
      <c r="F32" s="126">
        <v>20</v>
      </c>
      <c r="G32" s="126">
        <f t="shared" si="1"/>
        <v>1444.74</v>
      </c>
      <c r="H32" s="128">
        <f t="shared" si="12"/>
        <v>1444.74</v>
      </c>
      <c r="I32" s="126">
        <v>5</v>
      </c>
      <c r="J32" s="126">
        <f t="shared" si="2"/>
        <v>361.19</v>
      </c>
      <c r="K32" s="128">
        <f t="shared" si="13"/>
        <v>361.19</v>
      </c>
      <c r="L32" s="126"/>
      <c r="M32" s="126">
        <f t="shared" si="10"/>
        <v>0</v>
      </c>
      <c r="N32" s="128"/>
      <c r="O32" s="126"/>
      <c r="P32" s="126">
        <f t="shared" si="4"/>
        <v>0</v>
      </c>
      <c r="Q32" s="128"/>
      <c r="R32" s="128">
        <f t="shared" si="11"/>
        <v>0</v>
      </c>
      <c r="S32" s="128">
        <f t="shared" si="6"/>
        <v>0</v>
      </c>
      <c r="T32" s="128">
        <f t="shared" si="7"/>
        <v>9029.63</v>
      </c>
      <c r="U32" s="129">
        <f t="shared" si="8"/>
        <v>108355.56</v>
      </c>
      <c r="V32" s="130">
        <f t="shared" si="9"/>
        <v>0</v>
      </c>
      <c r="W32" s="118" t="str">
        <f t="shared" si="0"/>
        <v>10</v>
      </c>
    </row>
    <row r="33" spans="1:23" ht="47.25" customHeight="1">
      <c r="A33" s="124">
        <v>11</v>
      </c>
      <c r="B33" s="125" t="s">
        <v>74</v>
      </c>
      <c r="C33" s="126">
        <v>13</v>
      </c>
      <c r="D33" s="127">
        <v>1</v>
      </c>
      <c r="E33" s="128">
        <v>7223.7</v>
      </c>
      <c r="F33" s="126">
        <v>30</v>
      </c>
      <c r="G33" s="126">
        <f t="shared" si="1"/>
        <v>2167.11</v>
      </c>
      <c r="H33" s="128">
        <f t="shared" si="12"/>
        <v>2167.11</v>
      </c>
      <c r="I33" s="126">
        <v>5</v>
      </c>
      <c r="J33" s="126">
        <f t="shared" si="2"/>
        <v>361.19</v>
      </c>
      <c r="K33" s="128">
        <f t="shared" si="13"/>
        <v>361.19</v>
      </c>
      <c r="L33" s="126"/>
      <c r="M33" s="126">
        <f t="shared" si="10"/>
        <v>0</v>
      </c>
      <c r="N33" s="128"/>
      <c r="O33" s="126"/>
      <c r="P33" s="126">
        <f t="shared" si="4"/>
        <v>0</v>
      </c>
      <c r="Q33" s="128"/>
      <c r="R33" s="128">
        <f t="shared" si="11"/>
        <v>0</v>
      </c>
      <c r="S33" s="128">
        <f t="shared" si="6"/>
        <v>0</v>
      </c>
      <c r="T33" s="128">
        <f t="shared" si="7"/>
        <v>9752</v>
      </c>
      <c r="U33" s="129">
        <f t="shared" si="8"/>
        <v>117024</v>
      </c>
      <c r="V33" s="130">
        <f t="shared" si="9"/>
        <v>0</v>
      </c>
      <c r="W33" s="118" t="str">
        <f t="shared" si="0"/>
        <v>11</v>
      </c>
    </row>
    <row r="34" spans="1:23" ht="33.75" customHeight="1">
      <c r="A34" s="124">
        <v>12</v>
      </c>
      <c r="B34" s="125" t="s">
        <v>13</v>
      </c>
      <c r="C34" s="126">
        <v>14</v>
      </c>
      <c r="D34" s="127">
        <v>1</v>
      </c>
      <c r="E34" s="128">
        <v>7701.1</v>
      </c>
      <c r="F34" s="126">
        <v>30</v>
      </c>
      <c r="G34" s="126">
        <f t="shared" si="1"/>
        <v>2310.33</v>
      </c>
      <c r="H34" s="128">
        <f t="shared" si="12"/>
        <v>2310.33</v>
      </c>
      <c r="I34" s="126">
        <v>5</v>
      </c>
      <c r="J34" s="126">
        <f t="shared" si="2"/>
        <v>385.06</v>
      </c>
      <c r="K34" s="128">
        <f t="shared" si="13"/>
        <v>385.06</v>
      </c>
      <c r="L34" s="126"/>
      <c r="M34" s="126">
        <f t="shared" si="10"/>
        <v>0</v>
      </c>
      <c r="N34" s="128"/>
      <c r="O34" s="126"/>
      <c r="P34" s="126">
        <f t="shared" si="4"/>
        <v>0</v>
      </c>
      <c r="Q34" s="128"/>
      <c r="R34" s="128">
        <f t="shared" si="11"/>
        <v>0</v>
      </c>
      <c r="S34" s="128">
        <f t="shared" si="6"/>
        <v>0</v>
      </c>
      <c r="T34" s="128">
        <f t="shared" si="7"/>
        <v>10396.49</v>
      </c>
      <c r="U34" s="129">
        <f t="shared" si="8"/>
        <v>124757.88</v>
      </c>
      <c r="V34" s="130">
        <f t="shared" si="9"/>
        <v>0</v>
      </c>
      <c r="W34" s="118" t="str">
        <f t="shared" si="0"/>
        <v>12</v>
      </c>
    </row>
    <row r="35" spans="1:23" ht="30.75" customHeight="1">
      <c r="A35" s="124"/>
      <c r="B35" s="125" t="s">
        <v>13</v>
      </c>
      <c r="C35" s="126">
        <v>14</v>
      </c>
      <c r="D35" s="133">
        <v>0.5</v>
      </c>
      <c r="E35" s="128">
        <v>7701.1</v>
      </c>
      <c r="F35" s="126">
        <v>20</v>
      </c>
      <c r="G35" s="126">
        <f t="shared" si="1"/>
        <v>770.11</v>
      </c>
      <c r="H35" s="128">
        <f t="shared" si="12"/>
        <v>1540.22</v>
      </c>
      <c r="I35" s="126">
        <v>5</v>
      </c>
      <c r="J35" s="126">
        <f t="shared" si="2"/>
        <v>192.53</v>
      </c>
      <c r="K35" s="128">
        <f t="shared" si="13"/>
        <v>385.06</v>
      </c>
      <c r="L35" s="126"/>
      <c r="M35" s="126">
        <f t="shared" si="10"/>
        <v>0</v>
      </c>
      <c r="N35" s="128"/>
      <c r="O35" s="126"/>
      <c r="P35" s="126">
        <f t="shared" si="4"/>
        <v>0</v>
      </c>
      <c r="Q35" s="128"/>
      <c r="R35" s="128">
        <f t="shared" si="11"/>
        <v>0</v>
      </c>
      <c r="S35" s="128">
        <f t="shared" si="6"/>
        <v>0</v>
      </c>
      <c r="T35" s="128">
        <f t="shared" si="7"/>
        <v>4813.19</v>
      </c>
      <c r="U35" s="129">
        <f t="shared" si="8"/>
        <v>57758.28</v>
      </c>
      <c r="V35" s="130">
        <f t="shared" si="9"/>
        <v>0</v>
      </c>
      <c r="W35" s="118">
        <f t="shared" si="0"/>
      </c>
    </row>
    <row r="36" spans="1:23" ht="31.5" customHeight="1">
      <c r="A36" s="124">
        <v>13</v>
      </c>
      <c r="B36" s="125" t="s">
        <v>52</v>
      </c>
      <c r="C36" s="126">
        <v>13</v>
      </c>
      <c r="D36" s="133">
        <v>0.5</v>
      </c>
      <c r="E36" s="128">
        <v>7223.7</v>
      </c>
      <c r="F36" s="126">
        <v>20</v>
      </c>
      <c r="G36" s="126">
        <f t="shared" si="1"/>
        <v>722.37</v>
      </c>
      <c r="H36" s="128">
        <f t="shared" si="12"/>
        <v>1444.74</v>
      </c>
      <c r="I36" s="126">
        <v>5</v>
      </c>
      <c r="J36" s="126">
        <f t="shared" si="2"/>
        <v>180.595</v>
      </c>
      <c r="K36" s="128">
        <f t="shared" si="13"/>
        <v>361.19</v>
      </c>
      <c r="L36" s="126"/>
      <c r="M36" s="126">
        <f t="shared" si="10"/>
        <v>0</v>
      </c>
      <c r="N36" s="128"/>
      <c r="O36" s="126"/>
      <c r="P36" s="126">
        <f t="shared" si="4"/>
        <v>0</v>
      </c>
      <c r="Q36" s="128"/>
      <c r="R36" s="128">
        <f t="shared" si="11"/>
        <v>0</v>
      </c>
      <c r="S36" s="128">
        <f t="shared" si="6"/>
        <v>0</v>
      </c>
      <c r="T36" s="128">
        <f t="shared" si="7"/>
        <v>4514.82</v>
      </c>
      <c r="U36" s="129">
        <f t="shared" si="8"/>
        <v>54177.84</v>
      </c>
      <c r="V36" s="130">
        <f t="shared" si="9"/>
        <v>0</v>
      </c>
      <c r="W36" s="118" t="str">
        <f t="shared" si="0"/>
        <v>13</v>
      </c>
    </row>
    <row r="37" spans="1:23" ht="31.5" customHeight="1">
      <c r="A37" s="124"/>
      <c r="B37" s="125" t="s">
        <v>52</v>
      </c>
      <c r="C37" s="126">
        <v>14</v>
      </c>
      <c r="D37" s="133">
        <v>1.5</v>
      </c>
      <c r="E37" s="128">
        <v>7701.1</v>
      </c>
      <c r="F37" s="126">
        <v>20</v>
      </c>
      <c r="G37" s="126">
        <f t="shared" si="1"/>
        <v>2310.33</v>
      </c>
      <c r="H37" s="128">
        <f t="shared" si="12"/>
        <v>1540.22</v>
      </c>
      <c r="I37" s="126">
        <v>5</v>
      </c>
      <c r="J37" s="126">
        <f t="shared" si="2"/>
        <v>577.59</v>
      </c>
      <c r="K37" s="128">
        <f t="shared" si="13"/>
        <v>385.06</v>
      </c>
      <c r="L37" s="126"/>
      <c r="M37" s="126">
        <f t="shared" si="10"/>
        <v>0</v>
      </c>
      <c r="N37" s="128"/>
      <c r="O37" s="126"/>
      <c r="P37" s="126">
        <f t="shared" si="4"/>
        <v>0</v>
      </c>
      <c r="Q37" s="128"/>
      <c r="R37" s="128">
        <f t="shared" si="11"/>
        <v>0</v>
      </c>
      <c r="S37" s="128">
        <f t="shared" si="6"/>
        <v>0</v>
      </c>
      <c r="T37" s="128">
        <f t="shared" si="7"/>
        <v>14439.57</v>
      </c>
      <c r="U37" s="129">
        <f t="shared" si="8"/>
        <v>173274.84</v>
      </c>
      <c r="V37" s="130">
        <f t="shared" si="9"/>
        <v>0</v>
      </c>
      <c r="W37" s="118">
        <f t="shared" si="0"/>
      </c>
    </row>
    <row r="38" spans="1:23" ht="25.5" customHeight="1">
      <c r="A38" s="124">
        <v>14</v>
      </c>
      <c r="B38" s="125" t="s">
        <v>47</v>
      </c>
      <c r="C38" s="126">
        <v>13</v>
      </c>
      <c r="D38" s="127">
        <v>1</v>
      </c>
      <c r="E38" s="128">
        <v>7223.7</v>
      </c>
      <c r="F38" s="126">
        <v>30</v>
      </c>
      <c r="G38" s="126">
        <f t="shared" si="1"/>
        <v>2167.11</v>
      </c>
      <c r="H38" s="128">
        <f t="shared" si="12"/>
        <v>2167.11</v>
      </c>
      <c r="I38" s="126">
        <v>5</v>
      </c>
      <c r="J38" s="126">
        <f t="shared" si="2"/>
        <v>361.19</v>
      </c>
      <c r="K38" s="128">
        <f t="shared" si="13"/>
        <v>361.19</v>
      </c>
      <c r="L38" s="126"/>
      <c r="M38" s="126">
        <f t="shared" si="10"/>
        <v>0</v>
      </c>
      <c r="N38" s="128">
        <f>ROUND(E38*L38/100*D38,2)</f>
        <v>0</v>
      </c>
      <c r="O38" s="126">
        <v>0</v>
      </c>
      <c r="P38" s="126">
        <f t="shared" si="4"/>
        <v>0</v>
      </c>
      <c r="Q38" s="128">
        <f>E38*O38/100</f>
        <v>0</v>
      </c>
      <c r="R38" s="128">
        <f t="shared" si="11"/>
        <v>0</v>
      </c>
      <c r="S38" s="128">
        <f t="shared" si="6"/>
        <v>0</v>
      </c>
      <c r="T38" s="128">
        <f t="shared" si="7"/>
        <v>9752</v>
      </c>
      <c r="U38" s="129">
        <f t="shared" si="8"/>
        <v>117024</v>
      </c>
      <c r="V38" s="130">
        <f t="shared" si="9"/>
        <v>0</v>
      </c>
      <c r="W38" s="118" t="str">
        <f t="shared" si="0"/>
        <v>14</v>
      </c>
    </row>
    <row r="39" spans="1:23" ht="30.75" customHeight="1">
      <c r="A39" s="124">
        <v>15</v>
      </c>
      <c r="B39" s="327" t="s">
        <v>49</v>
      </c>
      <c r="C39" s="126">
        <v>12</v>
      </c>
      <c r="D39" s="127">
        <v>1</v>
      </c>
      <c r="E39" s="128"/>
      <c r="F39" s="126">
        <v>30</v>
      </c>
      <c r="G39" s="126">
        <f t="shared" si="1"/>
        <v>0</v>
      </c>
      <c r="H39" s="128">
        <f t="shared" si="12"/>
        <v>0</v>
      </c>
      <c r="I39" s="126">
        <v>5</v>
      </c>
      <c r="J39" s="126">
        <f t="shared" si="2"/>
        <v>0</v>
      </c>
      <c r="K39" s="128">
        <f t="shared" si="13"/>
        <v>0</v>
      </c>
      <c r="L39" s="126"/>
      <c r="M39" s="126">
        <f t="shared" si="10"/>
        <v>0</v>
      </c>
      <c r="N39" s="128"/>
      <c r="O39" s="126"/>
      <c r="P39" s="126">
        <f t="shared" si="4"/>
        <v>0</v>
      </c>
      <c r="Q39" s="128"/>
      <c r="R39" s="128">
        <f t="shared" si="11"/>
        <v>0</v>
      </c>
      <c r="S39" s="128"/>
      <c r="T39" s="128">
        <f t="shared" si="7"/>
        <v>0</v>
      </c>
      <c r="U39" s="129">
        <f t="shared" si="8"/>
        <v>0</v>
      </c>
      <c r="V39" s="130">
        <f t="shared" si="9"/>
        <v>6700</v>
      </c>
      <c r="W39" s="118" t="str">
        <f t="shared" si="0"/>
        <v>15</v>
      </c>
    </row>
    <row r="40" spans="1:23" ht="39.75" customHeight="1" thickBot="1">
      <c r="A40" s="134">
        <v>16</v>
      </c>
      <c r="B40" s="135" t="s">
        <v>136</v>
      </c>
      <c r="C40" s="136">
        <v>12</v>
      </c>
      <c r="D40" s="137">
        <v>1</v>
      </c>
      <c r="E40" s="132">
        <v>6746.3</v>
      </c>
      <c r="F40" s="136">
        <v>10</v>
      </c>
      <c r="G40" s="136">
        <f t="shared" si="1"/>
        <v>674.63</v>
      </c>
      <c r="H40" s="132">
        <f t="shared" si="12"/>
        <v>674.63</v>
      </c>
      <c r="I40" s="136">
        <v>5</v>
      </c>
      <c r="J40" s="136">
        <f t="shared" si="2"/>
        <v>337.32</v>
      </c>
      <c r="K40" s="132">
        <f>ROUND(E40*I40/100*D40,2)</f>
        <v>337.32</v>
      </c>
      <c r="L40" s="136"/>
      <c r="M40" s="136">
        <f t="shared" si="10"/>
        <v>0</v>
      </c>
      <c r="N40" s="132">
        <f>ROUND(E40*L40/100,2)</f>
        <v>0</v>
      </c>
      <c r="O40" s="136">
        <v>0</v>
      </c>
      <c r="P40" s="136">
        <f t="shared" si="4"/>
        <v>0</v>
      </c>
      <c r="Q40" s="132">
        <f>E40*O40/100</f>
        <v>0</v>
      </c>
      <c r="R40" s="128">
        <f t="shared" si="11"/>
        <v>0</v>
      </c>
      <c r="S40" s="128">
        <f t="shared" si="6"/>
        <v>0</v>
      </c>
      <c r="T40" s="132">
        <f t="shared" si="7"/>
        <v>7758.25</v>
      </c>
      <c r="U40" s="138">
        <f t="shared" si="8"/>
        <v>93099</v>
      </c>
      <c r="V40" s="130">
        <f t="shared" si="9"/>
        <v>0</v>
      </c>
      <c r="W40" s="118" t="str">
        <f t="shared" si="0"/>
        <v>16</v>
      </c>
    </row>
    <row r="41" spans="1:23" ht="33.75" customHeight="1" thickBot="1">
      <c r="A41" s="303" t="s">
        <v>14</v>
      </c>
      <c r="B41" s="304"/>
      <c r="C41" s="139" t="s">
        <v>15</v>
      </c>
      <c r="D41" s="140">
        <f>SUM(D15:D40)</f>
        <v>30.25</v>
      </c>
      <c r="E41" s="141">
        <f>T41-H41-N41-K41-Q41-S41</f>
        <v>221169.80000000005</v>
      </c>
      <c r="F41" s="139" t="s">
        <v>15</v>
      </c>
      <c r="G41" s="139"/>
      <c r="H41" s="141">
        <f>ROUND(SUM(G15:G40),2)</f>
        <v>55612.34</v>
      </c>
      <c r="I41" s="139" t="s">
        <v>15</v>
      </c>
      <c r="J41" s="139"/>
      <c r="K41" s="141">
        <f>ROUND(SUM(J15:J40),2)</f>
        <v>11058.63</v>
      </c>
      <c r="L41" s="139" t="s">
        <v>15</v>
      </c>
      <c r="M41" s="139"/>
      <c r="N41" s="141">
        <f>ROUND(SUM(M15:M40),2)</f>
        <v>5401.56</v>
      </c>
      <c r="O41" s="139" t="s">
        <v>15</v>
      </c>
      <c r="P41" s="139"/>
      <c r="Q41" s="141">
        <f>ROUND(SUM(P15:P40),2)</f>
        <v>21507.42</v>
      </c>
      <c r="R41" s="141"/>
      <c r="S41" s="141">
        <f>ROUND(SUM(R15:R40),2)</f>
        <v>0</v>
      </c>
      <c r="T41" s="141">
        <f>SUM(T15:T40)</f>
        <v>314749.75000000006</v>
      </c>
      <c r="U41" s="142">
        <f>SUM(U15:U40)</f>
        <v>3776996.9999999995</v>
      </c>
      <c r="V41" s="130"/>
      <c r="W41" s="118" t="str">
        <f t="shared" si="0"/>
        <v>Всього</v>
      </c>
    </row>
    <row r="42" spans="1:23" ht="30.75" customHeight="1">
      <c r="A42" s="269" t="s">
        <v>75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1"/>
      <c r="V42" s="130">
        <f>IF(D42&gt;0,IF((U42/D42-Q42)&gt;$W$1,0,($W$1-(U42/D42-Q42))*D42),0)</f>
        <v>0</v>
      </c>
      <c r="W42" s="118" t="str">
        <f t="shared" si="0"/>
        <v>1.2. М</v>
      </c>
    </row>
    <row r="43" spans="1:23" ht="42.75" customHeight="1">
      <c r="A43" s="124">
        <v>1</v>
      </c>
      <c r="B43" s="125" t="s">
        <v>16</v>
      </c>
      <c r="C43" s="126">
        <v>13</v>
      </c>
      <c r="D43" s="127">
        <v>3</v>
      </c>
      <c r="E43" s="128">
        <v>7223.7</v>
      </c>
      <c r="F43" s="126">
        <v>20</v>
      </c>
      <c r="G43" s="126">
        <f>H43*$D43</f>
        <v>4334.22</v>
      </c>
      <c r="H43" s="128">
        <f>E43*F43/100</f>
        <v>1444.74</v>
      </c>
      <c r="I43" s="126">
        <v>5</v>
      </c>
      <c r="J43" s="126">
        <f>K43*$D43</f>
        <v>1083.57</v>
      </c>
      <c r="K43" s="128">
        <f>ROUND(E43*I43/100,2)</f>
        <v>361.19</v>
      </c>
      <c r="L43" s="126"/>
      <c r="M43" s="126">
        <f>N43*D43</f>
        <v>0</v>
      </c>
      <c r="N43" s="128">
        <f>ROUND(E43*L43/100*D43,2)</f>
        <v>0</v>
      </c>
      <c r="O43" s="126">
        <v>0</v>
      </c>
      <c r="P43" s="126">
        <f>Q43*D43</f>
        <v>0</v>
      </c>
      <c r="Q43" s="128">
        <f>E43*O43/100</f>
        <v>0</v>
      </c>
      <c r="R43" s="128">
        <f>S43*D43</f>
        <v>0</v>
      </c>
      <c r="S43" s="128">
        <f>MAX($W$1-ROUND(ROUND((E43+H43+N43+K43+Q43)*D43,2)/D43,2),0)</f>
        <v>0</v>
      </c>
      <c r="T43" s="128">
        <f>ROUND((E43+H43+N43+K43+Q43)*D43,2)</f>
        <v>27088.89</v>
      </c>
      <c r="U43" s="129">
        <f>ROUND(SUM(T43*$W$7),2)</f>
        <v>325066.68</v>
      </c>
      <c r="V43" s="130">
        <f>IF(D43&gt;0,IF((U43/D43-Q43)&gt;$W$1,0,($W$1-(U43/D43-Q43))*D43),0)</f>
        <v>0</v>
      </c>
      <c r="W43" s="118" t="str">
        <f t="shared" si="0"/>
        <v>1</v>
      </c>
    </row>
    <row r="44" spans="1:23" ht="45" customHeight="1" thickBot="1">
      <c r="A44" s="134">
        <v>2</v>
      </c>
      <c r="B44" s="135" t="s">
        <v>16</v>
      </c>
      <c r="C44" s="136">
        <v>14</v>
      </c>
      <c r="D44" s="137">
        <v>2</v>
      </c>
      <c r="E44" s="132">
        <v>7701.1</v>
      </c>
      <c r="F44" s="136">
        <v>30</v>
      </c>
      <c r="G44" s="136">
        <f>H44*$D44</f>
        <v>4620.66</v>
      </c>
      <c r="H44" s="132">
        <f>E44*F44/100</f>
        <v>2310.33</v>
      </c>
      <c r="I44" s="136">
        <v>5</v>
      </c>
      <c r="J44" s="136">
        <f>K44*$D44</f>
        <v>770.12</v>
      </c>
      <c r="K44" s="132">
        <f>ROUND(E44*I44/100,2)</f>
        <v>385.06</v>
      </c>
      <c r="L44" s="136"/>
      <c r="M44" s="136">
        <f>N44*D44</f>
        <v>0</v>
      </c>
      <c r="N44" s="132">
        <f>ROUND(E44*L44/100*D44,2)</f>
        <v>0</v>
      </c>
      <c r="O44" s="136">
        <v>0</v>
      </c>
      <c r="P44" s="136">
        <f>Q44*D44</f>
        <v>0</v>
      </c>
      <c r="Q44" s="132">
        <f>E44*O44/100</f>
        <v>0</v>
      </c>
      <c r="R44" s="128">
        <f>S44*D44</f>
        <v>0</v>
      </c>
      <c r="S44" s="128">
        <f>MAX($W$1-ROUND(ROUND((E44+H44+N44+K44+Q44)*D44,2)/D44,2),0)</f>
        <v>0</v>
      </c>
      <c r="T44" s="132">
        <f>ROUND((E44+H44+N44+K44+Q44)*D44,2)</f>
        <v>20792.98</v>
      </c>
      <c r="U44" s="138">
        <f>ROUND(SUM(T44*$W$7),2)</f>
        <v>249515.76</v>
      </c>
      <c r="V44" s="130">
        <f>IF(D44&gt;0,IF((U44/D44-Q44)&gt;$W$1,0,($W$1-(U44/D44-Q44))*D44),0)</f>
        <v>0</v>
      </c>
      <c r="W44" s="118" t="str">
        <f t="shared" si="0"/>
        <v>2</v>
      </c>
    </row>
    <row r="45" spans="1:23" ht="27" customHeight="1" thickBot="1">
      <c r="A45" s="303" t="s">
        <v>17</v>
      </c>
      <c r="B45" s="304"/>
      <c r="C45" s="139" t="s">
        <v>15</v>
      </c>
      <c r="D45" s="143">
        <f>SUM(D43:D44)</f>
        <v>5</v>
      </c>
      <c r="E45" s="141">
        <f>T45-H45-N45-K45-Q45-S45</f>
        <v>37073.299999999996</v>
      </c>
      <c r="F45" s="139" t="s">
        <v>15</v>
      </c>
      <c r="G45" s="139"/>
      <c r="H45" s="141">
        <f>ROUND(SUM(G43:G44),2)</f>
        <v>8954.88</v>
      </c>
      <c r="I45" s="139" t="s">
        <v>15</v>
      </c>
      <c r="J45" s="139"/>
      <c r="K45" s="141">
        <f>ROUND(SUM(J43:J44),2)</f>
        <v>1853.69</v>
      </c>
      <c r="L45" s="139" t="s">
        <v>15</v>
      </c>
      <c r="M45" s="139"/>
      <c r="N45" s="141">
        <f>ROUND(SUM(M43:M44),2)</f>
        <v>0</v>
      </c>
      <c r="O45" s="139" t="s">
        <v>15</v>
      </c>
      <c r="P45" s="139"/>
      <c r="Q45" s="141">
        <f>ROUND(SUM(P43:P44),2)</f>
        <v>0</v>
      </c>
      <c r="R45" s="141"/>
      <c r="S45" s="141">
        <f>ROUND(SUM(R43:R44),2)</f>
        <v>0</v>
      </c>
      <c r="T45" s="141">
        <f>SUM(T43:T44)</f>
        <v>47881.869999999995</v>
      </c>
      <c r="U45" s="142">
        <f>SUM(U43:U44)</f>
        <v>574582.44</v>
      </c>
      <c r="V45" s="130">
        <f>IF(D45&gt;0,IF((U45/D45-Q45)&gt;$W$1,0,($W$1-(U45/D45-Q45))*D45),0)</f>
        <v>0</v>
      </c>
      <c r="W45" s="118" t="str">
        <f>LEFT(A45,6)</f>
        <v>Всього</v>
      </c>
    </row>
    <row r="46" spans="1:23" ht="32.25" customHeight="1">
      <c r="A46" s="269" t="s">
        <v>76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1"/>
      <c r="V46" s="130">
        <f>IF(D46&gt;0,IF((U46/D46-Q46)&gt;$W$1,0,($W$1-(U46/D46-Q46))*D46),0)</f>
        <v>0</v>
      </c>
      <c r="W46" s="118" t="str">
        <f t="shared" si="0"/>
        <v>1.3.Фа</v>
      </c>
    </row>
    <row r="47" spans="1:23" ht="57.75" customHeight="1">
      <c r="A47" s="124">
        <v>1</v>
      </c>
      <c r="B47" s="125" t="s">
        <v>77</v>
      </c>
      <c r="C47" s="131">
        <v>0.9</v>
      </c>
      <c r="D47" s="127">
        <v>1</v>
      </c>
      <c r="E47" s="133">
        <v>8358.3</v>
      </c>
      <c r="F47" s="126"/>
      <c r="G47" s="126">
        <f aca="true" t="shared" si="14" ref="G47:G72">H47*$D47</f>
        <v>0</v>
      </c>
      <c r="H47" s="128">
        <f aca="true" t="shared" si="15" ref="H47:H59">E47*F47/100</f>
        <v>0</v>
      </c>
      <c r="I47" s="126"/>
      <c r="J47" s="126">
        <f aca="true" t="shared" si="16" ref="J47:J72">K47*$D47</f>
        <v>0</v>
      </c>
      <c r="K47" s="128">
        <f aca="true" t="shared" si="17" ref="K47:K72">ROUND(E47*I47/100,2)</f>
        <v>0</v>
      </c>
      <c r="L47" s="126">
        <v>15</v>
      </c>
      <c r="M47" s="126">
        <f>N47*D47</f>
        <v>1253.75</v>
      </c>
      <c r="N47" s="133">
        <f>ROUND(E47*L47/100*D47,2)</f>
        <v>1253.75</v>
      </c>
      <c r="O47" s="126">
        <v>10</v>
      </c>
      <c r="P47" s="126">
        <f aca="true" t="shared" si="18" ref="P47:P72">Q47*D47</f>
        <v>835.83</v>
      </c>
      <c r="Q47" s="128">
        <f aca="true" t="shared" si="19" ref="Q47:Q61">E47*O47/100</f>
        <v>835.83</v>
      </c>
      <c r="R47" s="128">
        <f aca="true" t="shared" si="20" ref="R47:R72">S47*D47</f>
        <v>0</v>
      </c>
      <c r="S47" s="128">
        <f aca="true" t="shared" si="21" ref="S47:S72">MAX($W$1-ROUND(ROUND((E47+H47+N47+K47+Q47)*D47,2)/D47,2),0)</f>
        <v>0</v>
      </c>
      <c r="T47" s="128">
        <f aca="true" t="shared" si="22" ref="T47:T72">ROUND((E47+H47+N47+K47+Q47+S47)*D47,2)</f>
        <v>10447.88</v>
      </c>
      <c r="U47" s="129">
        <f aca="true" t="shared" si="23" ref="U47:U74">ROUND(SUM(T47*$W$7),2)</f>
        <v>125374.56</v>
      </c>
      <c r="V47" s="130">
        <f>D47*E47-(T47-S47-Q47-N47-K47-H47)</f>
        <v>0</v>
      </c>
      <c r="W47" s="118" t="str">
        <f t="shared" si="0"/>
        <v>1</v>
      </c>
    </row>
    <row r="48" spans="1:23" ht="28.5" customHeight="1">
      <c r="A48" s="124">
        <v>2</v>
      </c>
      <c r="B48" s="125" t="s">
        <v>18</v>
      </c>
      <c r="C48" s="126">
        <v>0.9</v>
      </c>
      <c r="D48" s="127">
        <v>1</v>
      </c>
      <c r="E48" s="133">
        <v>8358.3</v>
      </c>
      <c r="F48" s="126"/>
      <c r="G48" s="126">
        <f t="shared" si="14"/>
        <v>0</v>
      </c>
      <c r="H48" s="128">
        <f t="shared" si="15"/>
        <v>0</v>
      </c>
      <c r="I48" s="126"/>
      <c r="J48" s="126">
        <f t="shared" si="16"/>
        <v>0</v>
      </c>
      <c r="K48" s="128">
        <f t="shared" si="17"/>
        <v>0</v>
      </c>
      <c r="L48" s="126">
        <v>15</v>
      </c>
      <c r="M48" s="126">
        <f aca="true" t="shared" si="24" ref="M48:M72">N48*D48</f>
        <v>1253.75</v>
      </c>
      <c r="N48" s="133">
        <f>ROUND(E48*L48/100*D48,2)</f>
        <v>1253.75</v>
      </c>
      <c r="O48" s="126"/>
      <c r="P48" s="126">
        <f t="shared" si="18"/>
        <v>0</v>
      </c>
      <c r="Q48" s="128">
        <f t="shared" si="19"/>
        <v>0</v>
      </c>
      <c r="R48" s="128">
        <f t="shared" si="20"/>
        <v>0</v>
      </c>
      <c r="S48" s="128">
        <f t="shared" si="21"/>
        <v>0</v>
      </c>
      <c r="T48" s="128">
        <f t="shared" si="22"/>
        <v>9612.05</v>
      </c>
      <c r="U48" s="129">
        <f t="shared" si="23"/>
        <v>115344.6</v>
      </c>
      <c r="V48" s="130">
        <f aca="true" t="shared" si="25" ref="V48:V60">D48*E48-(T48-S48-Q48-N48-K48-H48)</f>
        <v>0</v>
      </c>
      <c r="W48" s="118" t="str">
        <f t="shared" si="0"/>
        <v>2</v>
      </c>
    </row>
    <row r="49" spans="1:23" ht="32.25" customHeight="1">
      <c r="A49" s="124">
        <v>3</v>
      </c>
      <c r="B49" s="125" t="s">
        <v>78</v>
      </c>
      <c r="C49" s="126">
        <v>12</v>
      </c>
      <c r="D49" s="127">
        <v>1</v>
      </c>
      <c r="E49" s="127">
        <v>6133</v>
      </c>
      <c r="F49" s="126">
        <v>30</v>
      </c>
      <c r="G49" s="126">
        <f t="shared" si="14"/>
        <v>1839.9</v>
      </c>
      <c r="H49" s="128">
        <f t="shared" si="15"/>
        <v>1839.9</v>
      </c>
      <c r="I49" s="126">
        <v>0</v>
      </c>
      <c r="J49" s="126">
        <f t="shared" si="16"/>
        <v>0</v>
      </c>
      <c r="K49" s="128">
        <f t="shared" si="17"/>
        <v>0</v>
      </c>
      <c r="L49" s="126"/>
      <c r="M49" s="126">
        <f t="shared" si="24"/>
        <v>0</v>
      </c>
      <c r="N49" s="133">
        <f aca="true" t="shared" si="26" ref="N49:N62">ROUND(E49*L49/100*D49,2)</f>
        <v>0</v>
      </c>
      <c r="O49" s="126">
        <v>50</v>
      </c>
      <c r="P49" s="126">
        <f t="shared" si="18"/>
        <v>3066.5</v>
      </c>
      <c r="Q49" s="128">
        <f t="shared" si="19"/>
        <v>3066.5</v>
      </c>
      <c r="R49" s="128">
        <f t="shared" si="20"/>
        <v>0</v>
      </c>
      <c r="S49" s="128">
        <f t="shared" si="21"/>
        <v>0</v>
      </c>
      <c r="T49" s="128">
        <f t="shared" si="22"/>
        <v>11039.4</v>
      </c>
      <c r="U49" s="129">
        <f t="shared" si="23"/>
        <v>132472.8</v>
      </c>
      <c r="V49" s="130">
        <f t="shared" si="25"/>
        <v>0</v>
      </c>
      <c r="W49" s="118" t="str">
        <f t="shared" si="0"/>
        <v>3</v>
      </c>
    </row>
    <row r="50" spans="1:23" ht="42" customHeight="1">
      <c r="A50" s="124">
        <v>4</v>
      </c>
      <c r="B50" s="327" t="s">
        <v>79</v>
      </c>
      <c r="C50" s="126">
        <v>10</v>
      </c>
      <c r="D50" s="127">
        <v>1</v>
      </c>
      <c r="E50" s="127"/>
      <c r="F50" s="126"/>
      <c r="G50" s="126">
        <f t="shared" si="14"/>
        <v>0</v>
      </c>
      <c r="H50" s="128">
        <f t="shared" si="15"/>
        <v>0</v>
      </c>
      <c r="I50" s="126"/>
      <c r="J50" s="126">
        <f t="shared" si="16"/>
        <v>0</v>
      </c>
      <c r="K50" s="128">
        <f t="shared" si="17"/>
        <v>0</v>
      </c>
      <c r="L50" s="126"/>
      <c r="M50" s="126">
        <f t="shared" si="24"/>
        <v>0</v>
      </c>
      <c r="N50" s="133">
        <f t="shared" si="26"/>
        <v>0</v>
      </c>
      <c r="O50" s="126"/>
      <c r="P50" s="126">
        <f t="shared" si="18"/>
        <v>0</v>
      </c>
      <c r="Q50" s="128">
        <f t="shared" si="19"/>
        <v>0</v>
      </c>
      <c r="R50" s="128">
        <f t="shared" si="20"/>
        <v>0</v>
      </c>
      <c r="S50" s="128"/>
      <c r="T50" s="128">
        <f t="shared" si="22"/>
        <v>0</v>
      </c>
      <c r="U50" s="129">
        <f t="shared" si="23"/>
        <v>0</v>
      </c>
      <c r="V50" s="130">
        <f t="shared" si="25"/>
        <v>0</v>
      </c>
      <c r="W50" s="118" t="str">
        <f t="shared" si="0"/>
        <v>4</v>
      </c>
    </row>
    <row r="51" spans="1:23" ht="42.75" customHeight="1">
      <c r="A51" s="124">
        <v>5</v>
      </c>
      <c r="B51" s="125" t="s">
        <v>66</v>
      </c>
      <c r="C51" s="126">
        <v>8</v>
      </c>
      <c r="D51" s="127">
        <v>1</v>
      </c>
      <c r="E51" s="127">
        <v>4745</v>
      </c>
      <c r="F51" s="126"/>
      <c r="G51" s="126">
        <f t="shared" si="14"/>
        <v>0</v>
      </c>
      <c r="H51" s="128">
        <f t="shared" si="15"/>
        <v>0</v>
      </c>
      <c r="I51" s="126"/>
      <c r="J51" s="126">
        <f t="shared" si="16"/>
        <v>0</v>
      </c>
      <c r="K51" s="128">
        <f t="shared" si="17"/>
        <v>0</v>
      </c>
      <c r="L51" s="126"/>
      <c r="M51" s="126">
        <f t="shared" si="24"/>
        <v>0</v>
      </c>
      <c r="N51" s="133">
        <f t="shared" si="26"/>
        <v>0</v>
      </c>
      <c r="O51" s="126"/>
      <c r="P51" s="126">
        <f t="shared" si="18"/>
        <v>0</v>
      </c>
      <c r="Q51" s="128">
        <f t="shared" si="19"/>
        <v>0</v>
      </c>
      <c r="R51" s="128">
        <f t="shared" si="20"/>
        <v>1955</v>
      </c>
      <c r="S51" s="128">
        <f t="shared" si="21"/>
        <v>1955</v>
      </c>
      <c r="T51" s="128">
        <f t="shared" si="22"/>
        <v>6700</v>
      </c>
      <c r="U51" s="129">
        <f t="shared" si="23"/>
        <v>80400</v>
      </c>
      <c r="V51" s="130">
        <f t="shared" si="25"/>
        <v>0</v>
      </c>
      <c r="W51" s="118" t="str">
        <f t="shared" si="0"/>
        <v>5</v>
      </c>
    </row>
    <row r="52" spans="1:23" ht="33" customHeight="1">
      <c r="A52" s="124">
        <v>6</v>
      </c>
      <c r="B52" s="125" t="s">
        <v>53</v>
      </c>
      <c r="C52" s="126">
        <v>10</v>
      </c>
      <c r="D52" s="127">
        <v>1</v>
      </c>
      <c r="E52" s="127">
        <v>5265</v>
      </c>
      <c r="F52" s="126"/>
      <c r="G52" s="126">
        <f t="shared" si="14"/>
        <v>0</v>
      </c>
      <c r="H52" s="128">
        <f t="shared" si="15"/>
        <v>0</v>
      </c>
      <c r="I52" s="126"/>
      <c r="J52" s="126">
        <f t="shared" si="16"/>
        <v>0</v>
      </c>
      <c r="K52" s="128">
        <f t="shared" si="17"/>
        <v>0</v>
      </c>
      <c r="L52" s="126"/>
      <c r="M52" s="126">
        <f t="shared" si="24"/>
        <v>0</v>
      </c>
      <c r="N52" s="133">
        <f t="shared" si="26"/>
        <v>0</v>
      </c>
      <c r="O52" s="126"/>
      <c r="P52" s="126">
        <f t="shared" si="18"/>
        <v>0</v>
      </c>
      <c r="Q52" s="128">
        <f t="shared" si="19"/>
        <v>0</v>
      </c>
      <c r="R52" s="128">
        <f t="shared" si="20"/>
        <v>1435</v>
      </c>
      <c r="S52" s="128">
        <f t="shared" si="21"/>
        <v>1435</v>
      </c>
      <c r="T52" s="128">
        <f t="shared" si="22"/>
        <v>6700</v>
      </c>
      <c r="U52" s="129">
        <f t="shared" si="23"/>
        <v>80400</v>
      </c>
      <c r="V52" s="130">
        <f t="shared" si="25"/>
        <v>0</v>
      </c>
      <c r="W52" s="118" t="str">
        <f t="shared" si="0"/>
        <v>6</v>
      </c>
    </row>
    <row r="53" spans="1:23" ht="43.5" customHeight="1">
      <c r="A53" s="124">
        <v>7</v>
      </c>
      <c r="B53" s="125" t="s">
        <v>80</v>
      </c>
      <c r="C53" s="126">
        <v>9</v>
      </c>
      <c r="D53" s="127">
        <v>1</v>
      </c>
      <c r="E53" s="127">
        <v>5005</v>
      </c>
      <c r="F53" s="126"/>
      <c r="G53" s="126">
        <f t="shared" si="14"/>
        <v>0</v>
      </c>
      <c r="H53" s="128">
        <f t="shared" si="15"/>
        <v>0</v>
      </c>
      <c r="I53" s="126"/>
      <c r="J53" s="126">
        <f t="shared" si="16"/>
        <v>0</v>
      </c>
      <c r="K53" s="128">
        <f t="shared" si="17"/>
        <v>0</v>
      </c>
      <c r="L53" s="126"/>
      <c r="M53" s="126">
        <f t="shared" si="24"/>
        <v>0</v>
      </c>
      <c r="N53" s="133">
        <f t="shared" si="26"/>
        <v>0</v>
      </c>
      <c r="O53" s="126"/>
      <c r="P53" s="126">
        <f t="shared" si="18"/>
        <v>0</v>
      </c>
      <c r="Q53" s="128">
        <f t="shared" si="19"/>
        <v>0</v>
      </c>
      <c r="R53" s="128">
        <f t="shared" si="20"/>
        <v>1695</v>
      </c>
      <c r="S53" s="128">
        <f t="shared" si="21"/>
        <v>1695</v>
      </c>
      <c r="T53" s="128">
        <f t="shared" si="22"/>
        <v>6700</v>
      </c>
      <c r="U53" s="129">
        <f t="shared" si="23"/>
        <v>80400</v>
      </c>
      <c r="V53" s="130">
        <f t="shared" si="25"/>
        <v>0</v>
      </c>
      <c r="W53" s="118" t="str">
        <f t="shared" si="0"/>
        <v>7</v>
      </c>
    </row>
    <row r="54" spans="1:23" ht="96.75" customHeight="1">
      <c r="A54" s="124">
        <v>8</v>
      </c>
      <c r="B54" s="327" t="s">
        <v>100</v>
      </c>
      <c r="C54" s="126">
        <v>9</v>
      </c>
      <c r="D54" s="127">
        <v>1</v>
      </c>
      <c r="E54" s="127"/>
      <c r="F54" s="126"/>
      <c r="G54" s="126">
        <f t="shared" si="14"/>
        <v>0</v>
      </c>
      <c r="H54" s="128">
        <f t="shared" si="15"/>
        <v>0</v>
      </c>
      <c r="I54" s="126"/>
      <c r="J54" s="126">
        <f t="shared" si="16"/>
        <v>0</v>
      </c>
      <c r="K54" s="128">
        <f t="shared" si="17"/>
        <v>0</v>
      </c>
      <c r="L54" s="126"/>
      <c r="M54" s="126">
        <f t="shared" si="24"/>
        <v>0</v>
      </c>
      <c r="N54" s="133">
        <f t="shared" si="26"/>
        <v>0</v>
      </c>
      <c r="O54" s="126"/>
      <c r="P54" s="126">
        <f t="shared" si="18"/>
        <v>0</v>
      </c>
      <c r="Q54" s="128">
        <f t="shared" si="19"/>
        <v>0</v>
      </c>
      <c r="R54" s="128">
        <f t="shared" si="20"/>
        <v>0</v>
      </c>
      <c r="S54" s="128"/>
      <c r="T54" s="128">
        <f t="shared" si="22"/>
        <v>0</v>
      </c>
      <c r="U54" s="129">
        <f t="shared" si="23"/>
        <v>0</v>
      </c>
      <c r="V54" s="130">
        <f t="shared" si="25"/>
        <v>0</v>
      </c>
      <c r="W54" s="118" t="str">
        <f t="shared" si="0"/>
        <v>8</v>
      </c>
    </row>
    <row r="55" spans="1:23" ht="76.5" customHeight="1">
      <c r="A55" s="124">
        <v>9</v>
      </c>
      <c r="B55" s="125" t="s">
        <v>81</v>
      </c>
      <c r="C55" s="126">
        <v>9</v>
      </c>
      <c r="D55" s="127">
        <v>1</v>
      </c>
      <c r="E55" s="127">
        <v>5005</v>
      </c>
      <c r="F55" s="126"/>
      <c r="G55" s="126">
        <f t="shared" si="14"/>
        <v>0</v>
      </c>
      <c r="H55" s="128">
        <f t="shared" si="15"/>
        <v>0</v>
      </c>
      <c r="I55" s="126"/>
      <c r="J55" s="126">
        <f t="shared" si="16"/>
        <v>0</v>
      </c>
      <c r="K55" s="128">
        <f t="shared" si="17"/>
        <v>0</v>
      </c>
      <c r="L55" s="126"/>
      <c r="M55" s="126">
        <f t="shared" si="24"/>
        <v>0</v>
      </c>
      <c r="N55" s="133">
        <f t="shared" si="26"/>
        <v>0</v>
      </c>
      <c r="O55" s="126"/>
      <c r="P55" s="126">
        <f t="shared" si="18"/>
        <v>0</v>
      </c>
      <c r="Q55" s="128">
        <f t="shared" si="19"/>
        <v>0</v>
      </c>
      <c r="R55" s="128">
        <f t="shared" si="20"/>
        <v>1695</v>
      </c>
      <c r="S55" s="128">
        <f t="shared" si="21"/>
        <v>1695</v>
      </c>
      <c r="T55" s="128">
        <f t="shared" si="22"/>
        <v>6700</v>
      </c>
      <c r="U55" s="129">
        <f t="shared" si="23"/>
        <v>80400</v>
      </c>
      <c r="V55" s="130">
        <f t="shared" si="25"/>
        <v>0</v>
      </c>
      <c r="W55" s="118" t="str">
        <f t="shared" si="0"/>
        <v>9</v>
      </c>
    </row>
    <row r="56" spans="1:23" ht="31.5" customHeight="1">
      <c r="A56" s="124">
        <v>10</v>
      </c>
      <c r="B56" s="125" t="s">
        <v>20</v>
      </c>
      <c r="C56" s="126">
        <v>5</v>
      </c>
      <c r="D56" s="127">
        <v>3</v>
      </c>
      <c r="E56" s="127">
        <v>3934</v>
      </c>
      <c r="F56" s="126"/>
      <c r="G56" s="126">
        <f t="shared" si="14"/>
        <v>0</v>
      </c>
      <c r="H56" s="128">
        <f t="shared" si="15"/>
        <v>0</v>
      </c>
      <c r="I56" s="126"/>
      <c r="J56" s="126">
        <f t="shared" si="16"/>
        <v>0</v>
      </c>
      <c r="K56" s="128">
        <f t="shared" si="17"/>
        <v>0</v>
      </c>
      <c r="L56" s="126"/>
      <c r="M56" s="126">
        <f t="shared" si="24"/>
        <v>0</v>
      </c>
      <c r="N56" s="133">
        <f t="shared" si="26"/>
        <v>0</v>
      </c>
      <c r="O56" s="126"/>
      <c r="P56" s="126">
        <f t="shared" si="18"/>
        <v>0</v>
      </c>
      <c r="Q56" s="128">
        <f t="shared" si="19"/>
        <v>0</v>
      </c>
      <c r="R56" s="128">
        <f t="shared" si="20"/>
        <v>8298</v>
      </c>
      <c r="S56" s="128">
        <f t="shared" si="21"/>
        <v>2766</v>
      </c>
      <c r="T56" s="128">
        <f t="shared" si="22"/>
        <v>20100</v>
      </c>
      <c r="U56" s="129">
        <f t="shared" si="23"/>
        <v>241200</v>
      </c>
      <c r="V56" s="130"/>
      <c r="W56" s="118" t="str">
        <f t="shared" si="0"/>
        <v>10</v>
      </c>
    </row>
    <row r="57" spans="1:23" ht="29.25" customHeight="1">
      <c r="A57" s="124">
        <v>11</v>
      </c>
      <c r="B57" s="125" t="s">
        <v>139</v>
      </c>
      <c r="C57" s="126">
        <v>5</v>
      </c>
      <c r="D57" s="127">
        <v>4</v>
      </c>
      <c r="E57" s="127">
        <v>3934</v>
      </c>
      <c r="F57" s="126"/>
      <c r="G57" s="126">
        <f>H57*$D57</f>
        <v>0</v>
      </c>
      <c r="H57" s="128">
        <f>E57*F57/100</f>
        <v>0</v>
      </c>
      <c r="I57" s="126"/>
      <c r="J57" s="126">
        <f>K57*$D57</f>
        <v>0</v>
      </c>
      <c r="K57" s="128">
        <f>ROUND(E57*I57/100,2)</f>
        <v>0</v>
      </c>
      <c r="L57" s="126"/>
      <c r="M57" s="126">
        <f>N57*D57</f>
        <v>0</v>
      </c>
      <c r="N57" s="133">
        <f>ROUND(E57*L57/100*D57,2)</f>
        <v>0</v>
      </c>
      <c r="O57" s="126"/>
      <c r="P57" s="126">
        <f>Q57*D57</f>
        <v>0</v>
      </c>
      <c r="Q57" s="128">
        <f>E57*O57/100</f>
        <v>0</v>
      </c>
      <c r="R57" s="128">
        <f>S57*D57</f>
        <v>11064</v>
      </c>
      <c r="S57" s="128">
        <f>MAX($W$1-ROUND(ROUND((E57+H57+N57+K57+Q57)*D57,2)/D57,2),0)</f>
        <v>2766</v>
      </c>
      <c r="T57" s="128">
        <f>ROUND((E57+H57+N57+K57+Q57+S57)*D57,2)</f>
        <v>26800</v>
      </c>
      <c r="U57" s="129">
        <f t="shared" si="23"/>
        <v>321600</v>
      </c>
      <c r="V57" s="130"/>
      <c r="W57" s="118" t="str">
        <f t="shared" si="0"/>
        <v>11</v>
      </c>
    </row>
    <row r="58" spans="1:23" ht="40.5" customHeight="1">
      <c r="A58" s="124">
        <v>12</v>
      </c>
      <c r="B58" s="125" t="s">
        <v>54</v>
      </c>
      <c r="C58" s="126">
        <v>5</v>
      </c>
      <c r="D58" s="127">
        <v>1</v>
      </c>
      <c r="E58" s="127">
        <v>3934</v>
      </c>
      <c r="F58" s="126"/>
      <c r="G58" s="126">
        <f t="shared" si="14"/>
        <v>0</v>
      </c>
      <c r="H58" s="128">
        <f t="shared" si="15"/>
        <v>0</v>
      </c>
      <c r="I58" s="126"/>
      <c r="J58" s="126">
        <f t="shared" si="16"/>
        <v>0</v>
      </c>
      <c r="K58" s="128">
        <f t="shared" si="17"/>
        <v>0</v>
      </c>
      <c r="L58" s="126"/>
      <c r="M58" s="126">
        <f t="shared" si="24"/>
        <v>0</v>
      </c>
      <c r="N58" s="133">
        <f t="shared" si="26"/>
        <v>0</v>
      </c>
      <c r="O58" s="126"/>
      <c r="P58" s="126">
        <f t="shared" si="18"/>
        <v>0</v>
      </c>
      <c r="Q58" s="128">
        <f t="shared" si="19"/>
        <v>0</v>
      </c>
      <c r="R58" s="128">
        <f t="shared" si="20"/>
        <v>2766</v>
      </c>
      <c r="S58" s="128">
        <f t="shared" si="21"/>
        <v>2766</v>
      </c>
      <c r="T58" s="128">
        <f t="shared" si="22"/>
        <v>6700</v>
      </c>
      <c r="U58" s="129">
        <f t="shared" si="23"/>
        <v>80400</v>
      </c>
      <c r="V58" s="130">
        <f t="shared" si="25"/>
        <v>0</v>
      </c>
      <c r="W58" s="118" t="str">
        <f t="shared" si="0"/>
        <v>12</v>
      </c>
    </row>
    <row r="59" spans="1:23" ht="36.75" customHeight="1">
      <c r="A59" s="124">
        <v>13</v>
      </c>
      <c r="B59" s="327" t="s">
        <v>57</v>
      </c>
      <c r="C59" s="126">
        <v>10</v>
      </c>
      <c r="D59" s="127">
        <v>1</v>
      </c>
      <c r="E59" s="127"/>
      <c r="F59" s="126">
        <v>30</v>
      </c>
      <c r="G59" s="126">
        <f t="shared" si="14"/>
        <v>0</v>
      </c>
      <c r="H59" s="128">
        <f t="shared" si="15"/>
        <v>0</v>
      </c>
      <c r="I59" s="126"/>
      <c r="J59" s="126">
        <f t="shared" si="16"/>
        <v>0</v>
      </c>
      <c r="K59" s="128">
        <f t="shared" si="17"/>
        <v>0</v>
      </c>
      <c r="L59" s="126"/>
      <c r="M59" s="126">
        <f t="shared" si="24"/>
        <v>0</v>
      </c>
      <c r="N59" s="133">
        <f t="shared" si="26"/>
        <v>0</v>
      </c>
      <c r="O59" s="126">
        <v>50</v>
      </c>
      <c r="P59" s="126">
        <f t="shared" si="18"/>
        <v>0</v>
      </c>
      <c r="Q59" s="128">
        <f t="shared" si="19"/>
        <v>0</v>
      </c>
      <c r="R59" s="128">
        <f t="shared" si="20"/>
        <v>0</v>
      </c>
      <c r="S59" s="128"/>
      <c r="T59" s="128">
        <f t="shared" si="22"/>
        <v>0</v>
      </c>
      <c r="U59" s="129">
        <f t="shared" si="23"/>
        <v>0</v>
      </c>
      <c r="V59" s="130">
        <f t="shared" si="25"/>
        <v>0</v>
      </c>
      <c r="W59" s="118" t="str">
        <f t="shared" si="0"/>
        <v>13</v>
      </c>
    </row>
    <row r="60" spans="1:23" ht="39" customHeight="1">
      <c r="A60" s="124">
        <v>14</v>
      </c>
      <c r="B60" s="125" t="s">
        <v>82</v>
      </c>
      <c r="C60" s="126">
        <v>9</v>
      </c>
      <c r="D60" s="127">
        <v>1</v>
      </c>
      <c r="E60" s="127">
        <v>5005</v>
      </c>
      <c r="F60" s="126"/>
      <c r="G60" s="126">
        <f t="shared" si="14"/>
        <v>0</v>
      </c>
      <c r="H60" s="128"/>
      <c r="I60" s="126"/>
      <c r="J60" s="126">
        <f t="shared" si="16"/>
        <v>0</v>
      </c>
      <c r="K60" s="128">
        <f t="shared" si="17"/>
        <v>0</v>
      </c>
      <c r="L60" s="126"/>
      <c r="M60" s="126">
        <f t="shared" si="24"/>
        <v>0</v>
      </c>
      <c r="N60" s="133">
        <f t="shared" si="26"/>
        <v>0</v>
      </c>
      <c r="O60" s="126"/>
      <c r="P60" s="126">
        <f t="shared" si="18"/>
        <v>0</v>
      </c>
      <c r="Q60" s="128">
        <f t="shared" si="19"/>
        <v>0</v>
      </c>
      <c r="R60" s="128">
        <f t="shared" si="20"/>
        <v>1695</v>
      </c>
      <c r="S60" s="128">
        <f t="shared" si="21"/>
        <v>1695</v>
      </c>
      <c r="T60" s="128">
        <f t="shared" si="22"/>
        <v>6700</v>
      </c>
      <c r="U60" s="129">
        <f t="shared" si="23"/>
        <v>80400</v>
      </c>
      <c r="V60" s="130">
        <f t="shared" si="25"/>
        <v>0</v>
      </c>
      <c r="W60" s="118" t="str">
        <f t="shared" si="0"/>
        <v>14</v>
      </c>
    </row>
    <row r="61" spans="1:23" ht="40.5" customHeight="1">
      <c r="A61" s="124">
        <v>15</v>
      </c>
      <c r="B61" s="125" t="s">
        <v>58</v>
      </c>
      <c r="C61" s="126">
        <v>0.7</v>
      </c>
      <c r="D61" s="127">
        <v>1</v>
      </c>
      <c r="E61" s="133">
        <v>6500.9</v>
      </c>
      <c r="F61" s="126"/>
      <c r="G61" s="126">
        <f t="shared" si="14"/>
        <v>0</v>
      </c>
      <c r="H61" s="128"/>
      <c r="I61" s="126"/>
      <c r="J61" s="126">
        <f t="shared" si="16"/>
        <v>0</v>
      </c>
      <c r="K61" s="128">
        <f t="shared" si="17"/>
        <v>0</v>
      </c>
      <c r="L61" s="126"/>
      <c r="M61" s="126">
        <f t="shared" si="24"/>
        <v>0</v>
      </c>
      <c r="N61" s="133">
        <f t="shared" si="26"/>
        <v>0</v>
      </c>
      <c r="O61" s="126">
        <v>50</v>
      </c>
      <c r="P61" s="126">
        <f t="shared" si="18"/>
        <v>3250.45</v>
      </c>
      <c r="Q61" s="128">
        <f t="shared" si="19"/>
        <v>3250.45</v>
      </c>
      <c r="R61" s="128">
        <f t="shared" si="20"/>
        <v>0</v>
      </c>
      <c r="S61" s="128">
        <f t="shared" si="21"/>
        <v>0</v>
      </c>
      <c r="T61" s="128">
        <f t="shared" si="22"/>
        <v>9751.35</v>
      </c>
      <c r="U61" s="129">
        <f t="shared" si="23"/>
        <v>117016.2</v>
      </c>
      <c r="V61" s="130"/>
      <c r="W61" s="118" t="str">
        <f t="shared" si="0"/>
        <v>15</v>
      </c>
    </row>
    <row r="62" spans="1:23" ht="36.75" customHeight="1">
      <c r="A62" s="124">
        <v>16</v>
      </c>
      <c r="B62" s="125" t="s">
        <v>83</v>
      </c>
      <c r="C62" s="126">
        <v>6</v>
      </c>
      <c r="D62" s="127">
        <v>1</v>
      </c>
      <c r="E62" s="127">
        <v>4195</v>
      </c>
      <c r="F62" s="126"/>
      <c r="G62" s="126">
        <f t="shared" si="14"/>
        <v>0</v>
      </c>
      <c r="H62" s="128"/>
      <c r="I62" s="126"/>
      <c r="J62" s="126">
        <f t="shared" si="16"/>
        <v>0</v>
      </c>
      <c r="K62" s="128">
        <f t="shared" si="17"/>
        <v>0</v>
      </c>
      <c r="L62" s="126"/>
      <c r="M62" s="126">
        <f t="shared" si="24"/>
        <v>0</v>
      </c>
      <c r="N62" s="133">
        <f t="shared" si="26"/>
        <v>0</v>
      </c>
      <c r="O62" s="126"/>
      <c r="P62" s="126">
        <f t="shared" si="18"/>
        <v>0</v>
      </c>
      <c r="Q62" s="128"/>
      <c r="R62" s="128">
        <f t="shared" si="20"/>
        <v>2505</v>
      </c>
      <c r="S62" s="128">
        <f t="shared" si="21"/>
        <v>2505</v>
      </c>
      <c r="T62" s="128">
        <f t="shared" si="22"/>
        <v>6700</v>
      </c>
      <c r="U62" s="129">
        <f t="shared" si="23"/>
        <v>80400</v>
      </c>
      <c r="V62" s="130"/>
      <c r="W62" s="118" t="str">
        <f t="shared" si="0"/>
        <v>16</v>
      </c>
    </row>
    <row r="63" spans="1:23" ht="38.25" customHeight="1">
      <c r="A63" s="124">
        <v>17</v>
      </c>
      <c r="B63" s="125" t="s">
        <v>140</v>
      </c>
      <c r="C63" s="126">
        <v>5</v>
      </c>
      <c r="D63" s="127">
        <v>1</v>
      </c>
      <c r="E63" s="127">
        <v>3934</v>
      </c>
      <c r="F63" s="126"/>
      <c r="G63" s="126">
        <f>H63*$D63</f>
        <v>0</v>
      </c>
      <c r="H63" s="128"/>
      <c r="I63" s="126"/>
      <c r="J63" s="126">
        <f>K63*$D63</f>
        <v>0</v>
      </c>
      <c r="K63" s="128">
        <f>ROUND(E63*I63/100,2)</f>
        <v>0</v>
      </c>
      <c r="L63" s="126"/>
      <c r="M63" s="126">
        <f>N63*D63</f>
        <v>0</v>
      </c>
      <c r="N63" s="133">
        <f>ROUND(E63*L63/100*D63,2)</f>
        <v>0</v>
      </c>
      <c r="O63" s="126"/>
      <c r="P63" s="126">
        <f>Q63*D63</f>
        <v>0</v>
      </c>
      <c r="Q63" s="128"/>
      <c r="R63" s="128">
        <f>S63*D63</f>
        <v>2766</v>
      </c>
      <c r="S63" s="128">
        <f>MAX($W$1-ROUND(ROUND((E63+H63+N63+K63+Q63)*D63,2)/D63,2),0)</f>
        <v>2766</v>
      </c>
      <c r="T63" s="128">
        <f>ROUND((E63+H63+N63+K63+Q63+S63)*D63,2)</f>
        <v>6700</v>
      </c>
      <c r="U63" s="129">
        <f t="shared" si="23"/>
        <v>80400</v>
      </c>
      <c r="V63" s="130"/>
      <c r="W63" s="118"/>
    </row>
    <row r="64" spans="1:23" ht="28.5" customHeight="1">
      <c r="A64" s="124">
        <v>18</v>
      </c>
      <c r="B64" s="125" t="s">
        <v>59</v>
      </c>
      <c r="C64" s="126">
        <v>10</v>
      </c>
      <c r="D64" s="127">
        <v>3</v>
      </c>
      <c r="E64" s="127">
        <v>5265</v>
      </c>
      <c r="F64" s="126"/>
      <c r="G64" s="126">
        <f t="shared" si="14"/>
        <v>0</v>
      </c>
      <c r="H64" s="128"/>
      <c r="I64" s="126"/>
      <c r="J64" s="126">
        <f t="shared" si="16"/>
        <v>0</v>
      </c>
      <c r="K64" s="128">
        <f t="shared" si="17"/>
        <v>0</v>
      </c>
      <c r="L64" s="126">
        <v>15</v>
      </c>
      <c r="M64" s="126">
        <f t="shared" si="24"/>
        <v>2369.25</v>
      </c>
      <c r="N64" s="133">
        <f>ROUND(E64*L64/100,2)</f>
        <v>789.75</v>
      </c>
      <c r="O64" s="126"/>
      <c r="P64" s="126">
        <f t="shared" si="18"/>
        <v>0</v>
      </c>
      <c r="Q64" s="128"/>
      <c r="R64" s="128">
        <f t="shared" si="20"/>
        <v>0</v>
      </c>
      <c r="S64" s="128"/>
      <c r="T64" s="128">
        <f t="shared" si="22"/>
        <v>18164.25</v>
      </c>
      <c r="U64" s="129">
        <f t="shared" si="23"/>
        <v>217971</v>
      </c>
      <c r="V64" s="130"/>
      <c r="W64" s="118" t="str">
        <f t="shared" si="0"/>
        <v>18</v>
      </c>
    </row>
    <row r="65" spans="1:23" ht="33.75" customHeight="1">
      <c r="A65" s="124">
        <v>19</v>
      </c>
      <c r="B65" s="125" t="s">
        <v>69</v>
      </c>
      <c r="C65" s="126">
        <v>9</v>
      </c>
      <c r="D65" s="127">
        <v>2</v>
      </c>
      <c r="E65" s="127">
        <v>5005</v>
      </c>
      <c r="F65" s="126"/>
      <c r="G65" s="126">
        <f t="shared" si="14"/>
        <v>0</v>
      </c>
      <c r="H65" s="128"/>
      <c r="I65" s="126"/>
      <c r="J65" s="126">
        <f t="shared" si="16"/>
        <v>0</v>
      </c>
      <c r="K65" s="128">
        <f t="shared" si="17"/>
        <v>0</v>
      </c>
      <c r="L65" s="126">
        <v>15</v>
      </c>
      <c r="M65" s="126">
        <f t="shared" si="24"/>
        <v>1501.5</v>
      </c>
      <c r="N65" s="133">
        <f>ROUND(E65*L65/100,2)</f>
        <v>750.75</v>
      </c>
      <c r="O65" s="126"/>
      <c r="P65" s="126">
        <f t="shared" si="18"/>
        <v>0</v>
      </c>
      <c r="Q65" s="128"/>
      <c r="R65" s="128">
        <f t="shared" si="20"/>
        <v>0</v>
      </c>
      <c r="S65" s="128"/>
      <c r="T65" s="128">
        <f t="shared" si="22"/>
        <v>11511.5</v>
      </c>
      <c r="U65" s="129">
        <f t="shared" si="23"/>
        <v>138138</v>
      </c>
      <c r="V65" s="130"/>
      <c r="W65" s="118" t="str">
        <f t="shared" si="0"/>
        <v>19</v>
      </c>
    </row>
    <row r="66" spans="1:23" ht="63.75" customHeight="1">
      <c r="A66" s="124">
        <v>20</v>
      </c>
      <c r="B66" s="125" t="s">
        <v>60</v>
      </c>
      <c r="C66" s="126">
        <v>10</v>
      </c>
      <c r="D66" s="127">
        <v>1</v>
      </c>
      <c r="E66" s="127">
        <v>5265</v>
      </c>
      <c r="F66" s="126"/>
      <c r="G66" s="126">
        <f t="shared" si="14"/>
        <v>0</v>
      </c>
      <c r="H66" s="128"/>
      <c r="I66" s="126"/>
      <c r="J66" s="126">
        <f t="shared" si="16"/>
        <v>0</v>
      </c>
      <c r="K66" s="128">
        <f t="shared" si="17"/>
        <v>0</v>
      </c>
      <c r="L66" s="126"/>
      <c r="M66" s="126">
        <f t="shared" si="24"/>
        <v>0</v>
      </c>
      <c r="N66" s="133"/>
      <c r="O66" s="126"/>
      <c r="P66" s="126">
        <f t="shared" si="18"/>
        <v>0</v>
      </c>
      <c r="Q66" s="128"/>
      <c r="R66" s="128">
        <f t="shared" si="20"/>
        <v>1435</v>
      </c>
      <c r="S66" s="128">
        <f t="shared" si="21"/>
        <v>1435</v>
      </c>
      <c r="T66" s="128">
        <f t="shared" si="22"/>
        <v>6700</v>
      </c>
      <c r="U66" s="129">
        <f t="shared" si="23"/>
        <v>80400</v>
      </c>
      <c r="V66" s="130"/>
      <c r="W66" s="118" t="str">
        <f t="shared" si="0"/>
        <v>20</v>
      </c>
    </row>
    <row r="67" spans="1:23" ht="32.25" customHeight="1">
      <c r="A67" s="124">
        <v>21</v>
      </c>
      <c r="B67" s="327" t="s">
        <v>68</v>
      </c>
      <c r="C67" s="126">
        <v>8</v>
      </c>
      <c r="D67" s="127">
        <v>1</v>
      </c>
      <c r="E67" s="127"/>
      <c r="F67" s="126"/>
      <c r="G67" s="126">
        <f t="shared" si="14"/>
        <v>0</v>
      </c>
      <c r="H67" s="128"/>
      <c r="I67" s="126"/>
      <c r="J67" s="126">
        <f t="shared" si="16"/>
        <v>0</v>
      </c>
      <c r="K67" s="128">
        <f t="shared" si="17"/>
        <v>0</v>
      </c>
      <c r="L67" s="126"/>
      <c r="M67" s="126">
        <f t="shared" si="24"/>
        <v>0</v>
      </c>
      <c r="N67" s="133"/>
      <c r="O67" s="126"/>
      <c r="P67" s="126">
        <f t="shared" si="18"/>
        <v>0</v>
      </c>
      <c r="Q67" s="128"/>
      <c r="R67" s="128">
        <f t="shared" si="20"/>
        <v>0</v>
      </c>
      <c r="S67" s="128"/>
      <c r="T67" s="128">
        <f t="shared" si="22"/>
        <v>0</v>
      </c>
      <c r="U67" s="129">
        <f t="shared" si="23"/>
        <v>0</v>
      </c>
      <c r="V67" s="130"/>
      <c r="W67" s="118" t="str">
        <f t="shared" si="0"/>
        <v>21</v>
      </c>
    </row>
    <row r="68" spans="1:23" ht="31.5" customHeight="1">
      <c r="A68" s="124">
        <v>22</v>
      </c>
      <c r="B68" s="125" t="s">
        <v>67</v>
      </c>
      <c r="C68" s="126">
        <v>5</v>
      </c>
      <c r="D68" s="127">
        <v>1</v>
      </c>
      <c r="E68" s="127">
        <v>3934</v>
      </c>
      <c r="F68" s="126"/>
      <c r="G68" s="126">
        <f t="shared" si="14"/>
        <v>0</v>
      </c>
      <c r="H68" s="128"/>
      <c r="I68" s="126"/>
      <c r="J68" s="126">
        <f t="shared" si="16"/>
        <v>0</v>
      </c>
      <c r="K68" s="128">
        <f t="shared" si="17"/>
        <v>0</v>
      </c>
      <c r="L68" s="126"/>
      <c r="M68" s="126">
        <f t="shared" si="24"/>
        <v>0</v>
      </c>
      <c r="N68" s="133"/>
      <c r="O68" s="126"/>
      <c r="P68" s="126">
        <f t="shared" si="18"/>
        <v>0</v>
      </c>
      <c r="Q68" s="128"/>
      <c r="R68" s="128">
        <f t="shared" si="20"/>
        <v>2766</v>
      </c>
      <c r="S68" s="128">
        <f t="shared" si="21"/>
        <v>2766</v>
      </c>
      <c r="T68" s="128">
        <f t="shared" si="22"/>
        <v>6700</v>
      </c>
      <c r="U68" s="129">
        <f t="shared" si="23"/>
        <v>80400</v>
      </c>
      <c r="V68" s="130"/>
      <c r="W68" s="118" t="str">
        <f t="shared" si="0"/>
        <v>22</v>
      </c>
    </row>
    <row r="69" spans="1:23" ht="33" customHeight="1">
      <c r="A69" s="124">
        <v>23</v>
      </c>
      <c r="B69" s="327" t="s">
        <v>137</v>
      </c>
      <c r="C69" s="126">
        <v>5</v>
      </c>
      <c r="D69" s="127">
        <v>1</v>
      </c>
      <c r="E69" s="127"/>
      <c r="F69" s="126"/>
      <c r="G69" s="126">
        <f>H69*$D69</f>
        <v>0</v>
      </c>
      <c r="H69" s="128"/>
      <c r="I69" s="126"/>
      <c r="J69" s="126">
        <f>K69*$D69</f>
        <v>0</v>
      </c>
      <c r="K69" s="128">
        <f>ROUND(E69*I69/100,2)</f>
        <v>0</v>
      </c>
      <c r="L69" s="126"/>
      <c r="M69" s="126">
        <f>N69*D69</f>
        <v>0</v>
      </c>
      <c r="N69" s="133"/>
      <c r="O69" s="126"/>
      <c r="P69" s="126">
        <f>Q69*D69</f>
        <v>0</v>
      </c>
      <c r="Q69" s="128"/>
      <c r="R69" s="128">
        <f>S69*D69</f>
        <v>0</v>
      </c>
      <c r="S69" s="128"/>
      <c r="T69" s="128">
        <f>ROUND((E69+H69+N69+K69+Q69+S69)*D69,2)</f>
        <v>0</v>
      </c>
      <c r="U69" s="129">
        <f t="shared" si="23"/>
        <v>0</v>
      </c>
      <c r="V69" s="130"/>
      <c r="W69" s="118"/>
    </row>
    <row r="70" spans="1:23" ht="32.25" customHeight="1">
      <c r="A70" s="124">
        <v>24</v>
      </c>
      <c r="B70" s="125" t="s">
        <v>90</v>
      </c>
      <c r="C70" s="126">
        <v>7</v>
      </c>
      <c r="D70" s="127">
        <v>1</v>
      </c>
      <c r="E70" s="127">
        <v>4455</v>
      </c>
      <c r="F70" s="126"/>
      <c r="G70" s="126">
        <f>H70*$D70</f>
        <v>0</v>
      </c>
      <c r="H70" s="128"/>
      <c r="I70" s="126"/>
      <c r="J70" s="126">
        <f>K70*$D70</f>
        <v>0</v>
      </c>
      <c r="K70" s="128">
        <f>ROUND(E70*I70/100,2)</f>
        <v>0</v>
      </c>
      <c r="L70" s="126"/>
      <c r="M70" s="126">
        <f>N70*D70</f>
        <v>0</v>
      </c>
      <c r="N70" s="133"/>
      <c r="O70" s="126"/>
      <c r="P70" s="126">
        <f>Q70*D70</f>
        <v>0</v>
      </c>
      <c r="Q70" s="128"/>
      <c r="R70" s="128">
        <f>S70*D70</f>
        <v>2245</v>
      </c>
      <c r="S70" s="128">
        <f>MAX($W$1-ROUND(ROUND((E70+H70+N70+K70+Q70)*D70,2)/D70,2),0)</f>
        <v>2245</v>
      </c>
      <c r="T70" s="128">
        <f>ROUND((E70+H70+N70+K70+Q70+S70)*D70,2)</f>
        <v>6700</v>
      </c>
      <c r="U70" s="129">
        <f t="shared" si="23"/>
        <v>80400</v>
      </c>
      <c r="V70" s="130"/>
      <c r="W70" s="118"/>
    </row>
    <row r="71" spans="1:23" ht="27" customHeight="1">
      <c r="A71" s="124">
        <v>25</v>
      </c>
      <c r="B71" s="125" t="s">
        <v>138</v>
      </c>
      <c r="C71" s="126">
        <v>5</v>
      </c>
      <c r="D71" s="127">
        <v>1</v>
      </c>
      <c r="E71" s="127">
        <v>3934</v>
      </c>
      <c r="F71" s="126"/>
      <c r="G71" s="126">
        <f>H71*$D71</f>
        <v>0</v>
      </c>
      <c r="H71" s="128"/>
      <c r="I71" s="126"/>
      <c r="J71" s="126">
        <f>K71*$D71</f>
        <v>0</v>
      </c>
      <c r="K71" s="128">
        <f>ROUND(E71*I71/100,2)</f>
        <v>0</v>
      </c>
      <c r="L71" s="126"/>
      <c r="M71" s="126">
        <f>N71*D71</f>
        <v>0</v>
      </c>
      <c r="N71" s="133"/>
      <c r="O71" s="126"/>
      <c r="P71" s="126">
        <f>Q71*D71</f>
        <v>0</v>
      </c>
      <c r="Q71" s="128"/>
      <c r="R71" s="128">
        <f>S71*D71</f>
        <v>2766</v>
      </c>
      <c r="S71" s="128">
        <f>MAX($W$1-ROUND(ROUND((E71+H71+N71+K71+Q71)*D71,2)/D71,2),0)</f>
        <v>2766</v>
      </c>
      <c r="T71" s="128">
        <f>ROUND((E71+H71+N71+K71+Q71+S71)*D71,2)</f>
        <v>6700</v>
      </c>
      <c r="U71" s="129">
        <f t="shared" si="23"/>
        <v>80400</v>
      </c>
      <c r="V71" s="130"/>
      <c r="W71" s="118"/>
    </row>
    <row r="72" spans="1:23" ht="30" customHeight="1">
      <c r="A72" s="124">
        <v>26</v>
      </c>
      <c r="B72" s="125" t="s">
        <v>61</v>
      </c>
      <c r="C72" s="126">
        <v>7</v>
      </c>
      <c r="D72" s="127">
        <v>1</v>
      </c>
      <c r="E72" s="127">
        <v>4455</v>
      </c>
      <c r="F72" s="126"/>
      <c r="G72" s="126">
        <f t="shared" si="14"/>
        <v>0</v>
      </c>
      <c r="H72" s="128"/>
      <c r="I72" s="126"/>
      <c r="J72" s="126">
        <f t="shared" si="16"/>
        <v>0</v>
      </c>
      <c r="K72" s="128">
        <f t="shared" si="17"/>
        <v>0</v>
      </c>
      <c r="L72" s="126"/>
      <c r="M72" s="126">
        <f t="shared" si="24"/>
        <v>0</v>
      </c>
      <c r="N72" s="133"/>
      <c r="O72" s="126"/>
      <c r="P72" s="126">
        <f t="shared" si="18"/>
        <v>0</v>
      </c>
      <c r="Q72" s="128"/>
      <c r="R72" s="128">
        <f t="shared" si="20"/>
        <v>2245</v>
      </c>
      <c r="S72" s="128">
        <f t="shared" si="21"/>
        <v>2245</v>
      </c>
      <c r="T72" s="128">
        <f t="shared" si="22"/>
        <v>6700</v>
      </c>
      <c r="U72" s="129">
        <f t="shared" si="23"/>
        <v>80400</v>
      </c>
      <c r="V72" s="130"/>
      <c r="W72" s="118" t="str">
        <f t="shared" si="0"/>
        <v>26</v>
      </c>
    </row>
    <row r="73" spans="1:23" ht="30" customHeight="1">
      <c r="A73" s="124">
        <v>27</v>
      </c>
      <c r="B73" s="144" t="s">
        <v>91</v>
      </c>
      <c r="C73" s="126">
        <v>8</v>
      </c>
      <c r="D73" s="126">
        <v>1</v>
      </c>
      <c r="E73" s="126">
        <v>4745</v>
      </c>
      <c r="F73" s="126"/>
      <c r="G73" s="126">
        <f>H73*$D73</f>
        <v>0</v>
      </c>
      <c r="H73" s="126"/>
      <c r="I73" s="126"/>
      <c r="J73" s="126">
        <f>K73*$D73</f>
        <v>0</v>
      </c>
      <c r="K73" s="126"/>
      <c r="L73" s="126"/>
      <c r="M73" s="126">
        <f>N73*D73</f>
        <v>0</v>
      </c>
      <c r="N73" s="126"/>
      <c r="O73" s="126"/>
      <c r="P73" s="126">
        <f>Q73*D73</f>
        <v>0</v>
      </c>
      <c r="Q73" s="126"/>
      <c r="R73" s="128">
        <f>S73*D73</f>
        <v>1955</v>
      </c>
      <c r="S73" s="128">
        <f>MAX($W$1-ROUND(ROUND((E73+H73+N73+K73+Q73)*D73,2)/D73,2),0)</f>
        <v>1955</v>
      </c>
      <c r="T73" s="128">
        <f>ROUND((E73+H73+N73+K73+Q73+S73)*D73,2)</f>
        <v>6700</v>
      </c>
      <c r="U73" s="129">
        <f t="shared" si="23"/>
        <v>80400</v>
      </c>
      <c r="V73" s="130"/>
      <c r="W73" s="118"/>
    </row>
    <row r="74" spans="1:23" ht="30" customHeight="1" thickBot="1">
      <c r="A74" s="124">
        <v>28</v>
      </c>
      <c r="B74" s="145" t="s">
        <v>93</v>
      </c>
      <c r="C74" s="136">
        <v>5</v>
      </c>
      <c r="D74" s="136">
        <v>1</v>
      </c>
      <c r="E74" s="136">
        <v>3934</v>
      </c>
      <c r="F74" s="136"/>
      <c r="G74" s="136">
        <f>H74*$D74</f>
        <v>0</v>
      </c>
      <c r="H74" s="136"/>
      <c r="I74" s="136"/>
      <c r="J74" s="136">
        <f>K74*$D74</f>
        <v>0</v>
      </c>
      <c r="K74" s="136"/>
      <c r="L74" s="136"/>
      <c r="M74" s="136">
        <f>N74*D74</f>
        <v>0</v>
      </c>
      <c r="N74" s="136"/>
      <c r="O74" s="136"/>
      <c r="P74" s="136">
        <f>Q74*D74</f>
        <v>0</v>
      </c>
      <c r="Q74" s="136"/>
      <c r="R74" s="128">
        <f>S74*D74</f>
        <v>2766</v>
      </c>
      <c r="S74" s="128">
        <f>MAX($W$1-ROUND(ROUND((E74+H74+N74+K74+Q74)*D74,2)/D74,2),0)</f>
        <v>2766</v>
      </c>
      <c r="T74" s="128">
        <f>ROUND((E74+H74+N74+K74+Q74+S74)*D74,2)</f>
        <v>6700</v>
      </c>
      <c r="U74" s="129">
        <f t="shared" si="23"/>
        <v>80400</v>
      </c>
      <c r="V74" s="130"/>
      <c r="W74" s="118"/>
    </row>
    <row r="75" spans="1:23" ht="31.5" customHeight="1" thickBot="1">
      <c r="A75" s="303" t="s">
        <v>55</v>
      </c>
      <c r="B75" s="304"/>
      <c r="C75" s="139" t="s">
        <v>15</v>
      </c>
      <c r="D75" s="143">
        <f>SUM(D47:D74)</f>
        <v>36</v>
      </c>
      <c r="E75" s="141">
        <f>T75-H75-N75-K75-Q75-S75</f>
        <v>150503.5</v>
      </c>
      <c r="F75" s="139" t="s">
        <v>15</v>
      </c>
      <c r="G75" s="139"/>
      <c r="H75" s="141">
        <f>ROUND(SUM(G47:G74),2)</f>
        <v>1839.9</v>
      </c>
      <c r="I75" s="139" t="s">
        <v>15</v>
      </c>
      <c r="J75" s="139"/>
      <c r="K75" s="141">
        <f>ROUND(SUM(J47:J72),2)</f>
        <v>0</v>
      </c>
      <c r="L75" s="139" t="s">
        <v>15</v>
      </c>
      <c r="M75" s="139"/>
      <c r="N75" s="141">
        <f>ROUND(SUM(M47:M74),2)</f>
        <v>6378.25</v>
      </c>
      <c r="O75" s="139" t="s">
        <v>15</v>
      </c>
      <c r="P75" s="139"/>
      <c r="Q75" s="141">
        <f>ROUND(SUM(P47:P74),2)</f>
        <v>7152.78</v>
      </c>
      <c r="R75" s="141"/>
      <c r="S75" s="141">
        <f>ROUND(SUM(R47:R74),2)</f>
        <v>52052</v>
      </c>
      <c r="T75" s="141">
        <f>SUM(T47:T74)</f>
        <v>217926.43</v>
      </c>
      <c r="U75" s="142">
        <f>SUM(U47:U74)</f>
        <v>2615117.16</v>
      </c>
      <c r="V75" s="130"/>
      <c r="W75" s="118" t="str">
        <f t="shared" si="0"/>
        <v>Всього</v>
      </c>
    </row>
    <row r="76" spans="1:23" ht="28.5" customHeight="1">
      <c r="A76" s="269" t="s">
        <v>84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1"/>
      <c r="V76" s="130">
        <f>IF(D76&gt;0,IF((U76/D76-Q76)&gt;$W$1,0,($W$1-(U76/D76-Q76))*D76),0)</f>
        <v>0</v>
      </c>
      <c r="W76" s="118" t="str">
        <f t="shared" si="0"/>
        <v>1.4.Ро</v>
      </c>
    </row>
    <row r="77" spans="1:23" ht="45.75" customHeight="1">
      <c r="A77" s="124">
        <v>1</v>
      </c>
      <c r="B77" s="125" t="s">
        <v>21</v>
      </c>
      <c r="C77" s="126">
        <v>2</v>
      </c>
      <c r="D77" s="127">
        <v>12</v>
      </c>
      <c r="E77" s="127">
        <v>3153</v>
      </c>
      <c r="F77" s="126"/>
      <c r="G77" s="126">
        <f aca="true" t="shared" si="27" ref="G77:G83">H77*$D77</f>
        <v>0</v>
      </c>
      <c r="H77" s="128">
        <f>E77*F77/100</f>
        <v>0</v>
      </c>
      <c r="I77" s="126"/>
      <c r="J77" s="126">
        <f aca="true" t="shared" si="28" ref="J77:J83">K77*$D77</f>
        <v>0</v>
      </c>
      <c r="K77" s="128">
        <f>ROUND(E77*I77/100,2)</f>
        <v>0</v>
      </c>
      <c r="L77" s="126"/>
      <c r="M77" s="126">
        <f aca="true" t="shared" si="29" ref="M77:M83">N77*D77</f>
        <v>0</v>
      </c>
      <c r="N77" s="128">
        <f>ROUND(E77*L77/100*D77,2)</f>
        <v>0</v>
      </c>
      <c r="O77" s="126">
        <v>10</v>
      </c>
      <c r="P77" s="126">
        <f aca="true" t="shared" si="30" ref="P77:P83">Q77*D77</f>
        <v>3783.6000000000004</v>
      </c>
      <c r="Q77" s="128">
        <f>E77*O77/100</f>
        <v>315.3</v>
      </c>
      <c r="R77" s="128">
        <f aca="true" t="shared" si="31" ref="R77:R83">S77*D77</f>
        <v>42564</v>
      </c>
      <c r="S77" s="128">
        <f>MAX($W$1-ROUND(ROUND((E77+H77+N77+K77)*D77,2)/D77,2),0)</f>
        <v>3547</v>
      </c>
      <c r="T77" s="128">
        <f aca="true" t="shared" si="32" ref="T77:T83">ROUND((E77+H77+N77+K77+Q77+S77)*D77,2)</f>
        <v>84183.6</v>
      </c>
      <c r="U77" s="129">
        <f aca="true" t="shared" si="33" ref="U77:U83">ROUND(SUM(T77*$W$7),2)</f>
        <v>1010203.2</v>
      </c>
      <c r="V77" s="130"/>
      <c r="W77" s="118" t="str">
        <f t="shared" si="0"/>
        <v>1</v>
      </c>
    </row>
    <row r="78" spans="1:23" ht="45.75" customHeight="1">
      <c r="A78" s="124">
        <v>2</v>
      </c>
      <c r="B78" s="327" t="s">
        <v>21</v>
      </c>
      <c r="C78" s="126">
        <v>2</v>
      </c>
      <c r="D78" s="127">
        <v>2</v>
      </c>
      <c r="E78" s="127"/>
      <c r="F78" s="126"/>
      <c r="G78" s="126"/>
      <c r="H78" s="128"/>
      <c r="I78" s="126"/>
      <c r="J78" s="126"/>
      <c r="K78" s="128"/>
      <c r="L78" s="126"/>
      <c r="M78" s="126"/>
      <c r="N78" s="128"/>
      <c r="O78" s="126">
        <v>10</v>
      </c>
      <c r="P78" s="126"/>
      <c r="Q78" s="128">
        <f>E78*O78/100</f>
        <v>0</v>
      </c>
      <c r="R78" s="128"/>
      <c r="S78" s="128"/>
      <c r="T78" s="128">
        <f t="shared" si="32"/>
        <v>0</v>
      </c>
      <c r="U78" s="129">
        <f t="shared" si="33"/>
        <v>0</v>
      </c>
      <c r="V78" s="130"/>
      <c r="W78" s="118"/>
    </row>
    <row r="79" spans="1:23" ht="31.5" customHeight="1">
      <c r="A79" s="124">
        <v>2</v>
      </c>
      <c r="B79" s="125" t="s">
        <v>23</v>
      </c>
      <c r="C79" s="126">
        <v>2</v>
      </c>
      <c r="D79" s="127">
        <v>6</v>
      </c>
      <c r="E79" s="127">
        <v>3153</v>
      </c>
      <c r="F79" s="126"/>
      <c r="G79" s="126">
        <f t="shared" si="27"/>
        <v>0</v>
      </c>
      <c r="H79" s="128">
        <f>E79*F79/100</f>
        <v>0</v>
      </c>
      <c r="I79" s="126"/>
      <c r="J79" s="126">
        <f t="shared" si="28"/>
        <v>0</v>
      </c>
      <c r="K79" s="128">
        <f>ROUND(E79*I79/100,2)</f>
        <v>0</v>
      </c>
      <c r="L79" s="126">
        <v>0</v>
      </c>
      <c r="M79" s="126">
        <f t="shared" si="29"/>
        <v>0</v>
      </c>
      <c r="N79" s="128"/>
      <c r="O79" s="126">
        <v>13</v>
      </c>
      <c r="P79" s="126">
        <f t="shared" si="30"/>
        <v>2459.34</v>
      </c>
      <c r="Q79" s="128">
        <f>E79*O79/100</f>
        <v>409.89</v>
      </c>
      <c r="R79" s="128">
        <f t="shared" si="31"/>
        <v>21282</v>
      </c>
      <c r="S79" s="128">
        <f>MAX($W$1-ROUND(ROUND((E79+H79+N79+K79)*D79,2)/D79,2),0)</f>
        <v>3547</v>
      </c>
      <c r="T79" s="128">
        <f t="shared" si="32"/>
        <v>42659.34</v>
      </c>
      <c r="U79" s="129">
        <f t="shared" si="33"/>
        <v>511912.08</v>
      </c>
      <c r="V79" s="130"/>
      <c r="W79" s="118" t="str">
        <f t="shared" si="0"/>
        <v>2</v>
      </c>
    </row>
    <row r="80" spans="1:23" ht="30" customHeight="1">
      <c r="A80" s="124">
        <v>3</v>
      </c>
      <c r="B80" s="125" t="s">
        <v>22</v>
      </c>
      <c r="C80" s="126">
        <v>1</v>
      </c>
      <c r="D80" s="127">
        <v>2</v>
      </c>
      <c r="E80" s="127">
        <v>2893</v>
      </c>
      <c r="F80" s="126">
        <v>0</v>
      </c>
      <c r="G80" s="126">
        <f t="shared" si="27"/>
        <v>0</v>
      </c>
      <c r="H80" s="128"/>
      <c r="I80" s="126"/>
      <c r="J80" s="126">
        <f t="shared" si="28"/>
        <v>0</v>
      </c>
      <c r="K80" s="128"/>
      <c r="L80" s="126"/>
      <c r="M80" s="126">
        <f t="shared" si="29"/>
        <v>0</v>
      </c>
      <c r="N80" s="128"/>
      <c r="O80" s="126"/>
      <c r="P80" s="126">
        <f t="shared" si="30"/>
        <v>0</v>
      </c>
      <c r="Q80" s="128"/>
      <c r="R80" s="128">
        <f t="shared" si="31"/>
        <v>7614</v>
      </c>
      <c r="S80" s="128">
        <f>MAX($W$1-ROUND(ROUND((E80+H80+N80+K80)*D80,2)/D80,2),0)</f>
        <v>3807</v>
      </c>
      <c r="T80" s="128">
        <f t="shared" si="32"/>
        <v>13400</v>
      </c>
      <c r="U80" s="129">
        <f t="shared" si="33"/>
        <v>160800</v>
      </c>
      <c r="V80" s="130">
        <f>IF(D80&gt;0,IF((U80/D80-Q80)&gt;$W$1,0,($W$1-(U80/D80-Q80))*D80),0)</f>
        <v>0</v>
      </c>
      <c r="W80" s="118" t="str">
        <f t="shared" si="0"/>
        <v>3</v>
      </c>
    </row>
    <row r="81" spans="1:23" ht="44.25" customHeight="1">
      <c r="A81" s="124">
        <v>4</v>
      </c>
      <c r="B81" s="125" t="s">
        <v>85</v>
      </c>
      <c r="C81" s="126">
        <v>2</v>
      </c>
      <c r="D81" s="127">
        <v>4</v>
      </c>
      <c r="E81" s="127">
        <v>3153</v>
      </c>
      <c r="F81" s="126"/>
      <c r="G81" s="126">
        <f t="shared" si="27"/>
        <v>0</v>
      </c>
      <c r="H81" s="128"/>
      <c r="I81" s="126"/>
      <c r="J81" s="126">
        <f t="shared" si="28"/>
        <v>0</v>
      </c>
      <c r="K81" s="128"/>
      <c r="L81" s="126"/>
      <c r="M81" s="126">
        <f t="shared" si="29"/>
        <v>0</v>
      </c>
      <c r="N81" s="128"/>
      <c r="O81" s="126"/>
      <c r="P81" s="126">
        <f t="shared" si="30"/>
        <v>0</v>
      </c>
      <c r="Q81" s="128"/>
      <c r="R81" s="128">
        <f t="shared" si="31"/>
        <v>14188</v>
      </c>
      <c r="S81" s="128">
        <f>MAX($W$1-ROUND(ROUND((E81+H81+N81+K81)*D81,2)/D81,2),0)</f>
        <v>3547</v>
      </c>
      <c r="T81" s="128">
        <f t="shared" si="32"/>
        <v>26800</v>
      </c>
      <c r="U81" s="129">
        <f t="shared" si="33"/>
        <v>321600</v>
      </c>
      <c r="V81" s="130">
        <f>IF(D81&gt;0,IF((U81/D81-Q81)&gt;$W$1,0,($W$1-(U81/D81-Q81))*D81),0)</f>
        <v>0</v>
      </c>
      <c r="W81" s="118" t="str">
        <f t="shared" si="0"/>
        <v>4</v>
      </c>
    </row>
    <row r="82" spans="1:23" ht="32.25" customHeight="1">
      <c r="A82" s="124">
        <v>5</v>
      </c>
      <c r="B82" s="125" t="s">
        <v>86</v>
      </c>
      <c r="C82" s="126">
        <v>2</v>
      </c>
      <c r="D82" s="127">
        <v>3</v>
      </c>
      <c r="E82" s="127">
        <v>3153</v>
      </c>
      <c r="F82" s="126"/>
      <c r="G82" s="126">
        <f t="shared" si="27"/>
        <v>0</v>
      </c>
      <c r="H82" s="128"/>
      <c r="I82" s="126"/>
      <c r="J82" s="126">
        <f t="shared" si="28"/>
        <v>0</v>
      </c>
      <c r="K82" s="128"/>
      <c r="L82" s="126"/>
      <c r="M82" s="126">
        <f t="shared" si="29"/>
        <v>0</v>
      </c>
      <c r="N82" s="128"/>
      <c r="O82" s="126"/>
      <c r="P82" s="126">
        <f t="shared" si="30"/>
        <v>0</v>
      </c>
      <c r="Q82" s="128"/>
      <c r="R82" s="128">
        <f t="shared" si="31"/>
        <v>10641</v>
      </c>
      <c r="S82" s="128">
        <f>MAX($W$1-ROUND(ROUND((E82+H82+N82+K82)*D82,2)/D82,2),0)</f>
        <v>3547</v>
      </c>
      <c r="T82" s="128">
        <f t="shared" si="32"/>
        <v>20100</v>
      </c>
      <c r="U82" s="129">
        <f t="shared" si="33"/>
        <v>241200</v>
      </c>
      <c r="V82" s="130">
        <f>IF(D82&gt;0,IF((U82/D82-Q82)&gt;$W$1,0,($W$1-(U82/D82-Q82))*D82),0)</f>
        <v>0</v>
      </c>
      <c r="W82" s="118" t="str">
        <f aca="true" t="shared" si="34" ref="W82:W93">LEFT(A82,6)</f>
        <v>5</v>
      </c>
    </row>
    <row r="83" spans="1:23" ht="41.25" customHeight="1" thickBot="1">
      <c r="A83" s="134">
        <v>6</v>
      </c>
      <c r="B83" s="145" t="s">
        <v>29</v>
      </c>
      <c r="C83" s="136">
        <v>2</v>
      </c>
      <c r="D83" s="146">
        <v>1.5</v>
      </c>
      <c r="E83" s="137">
        <v>3153</v>
      </c>
      <c r="F83" s="136"/>
      <c r="G83" s="136">
        <f t="shared" si="27"/>
        <v>0</v>
      </c>
      <c r="H83" s="132"/>
      <c r="I83" s="136"/>
      <c r="J83" s="136">
        <f t="shared" si="28"/>
        <v>0</v>
      </c>
      <c r="K83" s="132"/>
      <c r="L83" s="136"/>
      <c r="M83" s="136">
        <f t="shared" si="29"/>
        <v>0</v>
      </c>
      <c r="N83" s="132"/>
      <c r="O83" s="136"/>
      <c r="P83" s="136">
        <f t="shared" si="30"/>
        <v>0</v>
      </c>
      <c r="Q83" s="132"/>
      <c r="R83" s="128">
        <f t="shared" si="31"/>
        <v>5320.5</v>
      </c>
      <c r="S83" s="128">
        <f>MAX($W$1-ROUND(ROUND((E83+H83+N83+K83+Q83)*D83,2)/D83,2),0)</f>
        <v>3547</v>
      </c>
      <c r="T83" s="128">
        <f t="shared" si="32"/>
        <v>10050</v>
      </c>
      <c r="U83" s="138">
        <f t="shared" si="33"/>
        <v>120600</v>
      </c>
      <c r="V83" s="130">
        <f>IF(D83&gt;0,IF((U83/D83-Q83)&gt;$W$1,0,($W$1-(U83/D83-Q83))*D83),0)</f>
        <v>0</v>
      </c>
      <c r="W83" s="118" t="str">
        <f t="shared" si="34"/>
        <v>6</v>
      </c>
    </row>
    <row r="84" spans="1:23" ht="30" customHeight="1" thickBot="1">
      <c r="A84" s="303" t="s">
        <v>56</v>
      </c>
      <c r="B84" s="304"/>
      <c r="C84" s="139" t="s">
        <v>15</v>
      </c>
      <c r="D84" s="143">
        <f>SUM(D77:D83)</f>
        <v>30.5</v>
      </c>
      <c r="E84" s="141">
        <f>T84-H84-N84-K84-Q84-S84</f>
        <v>89340.5</v>
      </c>
      <c r="F84" s="139" t="s">
        <v>15</v>
      </c>
      <c r="G84" s="139"/>
      <c r="H84" s="141">
        <f>ROUND(SUM(G77:G83),2)</f>
        <v>0</v>
      </c>
      <c r="I84" s="139" t="s">
        <v>15</v>
      </c>
      <c r="J84" s="139"/>
      <c r="K84" s="141">
        <f>ROUND(SUM(J77:J83),2)</f>
        <v>0</v>
      </c>
      <c r="L84" s="139" t="s">
        <v>15</v>
      </c>
      <c r="M84" s="139"/>
      <c r="N84" s="141">
        <f>ROUND(SUM(M77:M83),2)</f>
        <v>0</v>
      </c>
      <c r="O84" s="139" t="s">
        <v>15</v>
      </c>
      <c r="P84" s="139"/>
      <c r="Q84" s="141">
        <f>ROUND(SUM(P77:P83),2)</f>
        <v>6242.94</v>
      </c>
      <c r="R84" s="141"/>
      <c r="S84" s="141">
        <f>ROUND(SUM(R77:R83),2)</f>
        <v>101609.5</v>
      </c>
      <c r="T84" s="141">
        <f>SUM(T77:T83)</f>
        <v>197192.94</v>
      </c>
      <c r="U84" s="142">
        <f>SUM(U77:U83)</f>
        <v>2366315.2800000003</v>
      </c>
      <c r="W84" s="118" t="str">
        <f t="shared" si="34"/>
        <v>Всього</v>
      </c>
    </row>
    <row r="85" spans="1:23" ht="30" customHeight="1" thickBot="1">
      <c r="A85" s="303" t="s">
        <v>24</v>
      </c>
      <c r="B85" s="304"/>
      <c r="C85" s="139" t="s">
        <v>96</v>
      </c>
      <c r="D85" s="141">
        <f>SUMIF($W$15:$W$84,"Всього",D15:D84)</f>
        <v>101.75</v>
      </c>
      <c r="E85" s="141">
        <f>T85-H85-N85-K85-Q85-S85</f>
        <v>498087.1</v>
      </c>
      <c r="F85" s="139" t="s">
        <v>15</v>
      </c>
      <c r="G85" s="139"/>
      <c r="H85" s="141">
        <f>SUMIF($W$15:$W$84,"Всього",H15:HH84)</f>
        <v>66407.12</v>
      </c>
      <c r="I85" s="139" t="s">
        <v>15</v>
      </c>
      <c r="J85" s="139"/>
      <c r="K85" s="141">
        <f>SUMIF($W$15:$W$84,"Всього",K15:HK84)</f>
        <v>12912.32</v>
      </c>
      <c r="L85" s="139" t="s">
        <v>15</v>
      </c>
      <c r="M85" s="139"/>
      <c r="N85" s="141">
        <f>SUMIF($W$15:$W$84,"Всього",N15:HK84)</f>
        <v>11779.810000000001</v>
      </c>
      <c r="O85" s="139" t="s">
        <v>15</v>
      </c>
      <c r="P85" s="139"/>
      <c r="Q85" s="141">
        <f>SUMIF($W$15:$W$84,"Всього",Q15:HQ84)</f>
        <v>34903.14</v>
      </c>
      <c r="R85" s="141"/>
      <c r="S85" s="141">
        <f>SUMIF($W$15:$W$84,"Всього",S15:HR84)</f>
        <v>153661.5</v>
      </c>
      <c r="T85" s="141">
        <f>SUMIF($W$15:$W$84,"Всього",T15:T84)</f>
        <v>777750.99</v>
      </c>
      <c r="U85" s="142">
        <f>SUMIF($W$15:$W$84,"Всього",U15:HS84)</f>
        <v>9333011.879999999</v>
      </c>
      <c r="V85" s="130"/>
      <c r="W85" s="118" t="str">
        <f t="shared" si="34"/>
        <v>Разом </v>
      </c>
    </row>
    <row r="86" spans="1:23" ht="30" customHeight="1">
      <c r="A86" s="305" t="s">
        <v>108</v>
      </c>
      <c r="B86" s="306"/>
      <c r="C86" s="306"/>
      <c r="D86" s="147">
        <v>127</v>
      </c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7">
        <v>1103277.12</v>
      </c>
      <c r="U86" s="147">
        <f>SUM(T86*12)</f>
        <v>13239325.440000001</v>
      </c>
      <c r="V86" s="130"/>
      <c r="W86" s="118" t="str">
        <f t="shared" si="34"/>
        <v>1.5.  </v>
      </c>
    </row>
    <row r="87" spans="1:23" ht="30" customHeight="1">
      <c r="A87" s="283" t="s">
        <v>109</v>
      </c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144"/>
      <c r="S87" s="144"/>
      <c r="T87" s="128">
        <v>222750.77</v>
      </c>
      <c r="U87" s="147">
        <f>SUM(T87*12)</f>
        <v>2673009.2399999998</v>
      </c>
      <c r="V87" s="130"/>
      <c r="W87" s="118" t="str">
        <f t="shared" si="34"/>
        <v>1.6. Н</v>
      </c>
    </row>
    <row r="88" spans="1:23" ht="27.75" customHeight="1">
      <c r="A88" s="283" t="s">
        <v>110</v>
      </c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144"/>
      <c r="S88" s="144"/>
      <c r="T88" s="128">
        <v>47911.03</v>
      </c>
      <c r="U88" s="147">
        <f>SUM(T88*12)</f>
        <v>574932.36</v>
      </c>
      <c r="V88" s="130"/>
      <c r="W88" s="118" t="str">
        <f t="shared" si="34"/>
        <v>1.7. Н</v>
      </c>
    </row>
    <row r="89" spans="1:23" ht="24" customHeight="1">
      <c r="A89" s="307" t="s">
        <v>111</v>
      </c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202">
        <v>696704.88</v>
      </c>
      <c r="V89" s="130"/>
      <c r="W89" s="118" t="str">
        <f t="shared" si="34"/>
        <v>1.8.Ма</v>
      </c>
    </row>
    <row r="90" spans="1:23" ht="24" customHeight="1">
      <c r="A90" s="307" t="s">
        <v>127</v>
      </c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149">
        <v>6133</v>
      </c>
      <c r="V90" s="130"/>
      <c r="W90" s="118" t="str">
        <f>LEFT(A90,6)</f>
        <v>1.9. М</v>
      </c>
    </row>
    <row r="91" spans="1:23" ht="24.75" customHeight="1">
      <c r="A91" s="307" t="s">
        <v>128</v>
      </c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202"/>
      <c r="V91" s="130"/>
      <c r="W91" s="118" t="str">
        <f t="shared" si="34"/>
        <v>1.10. </v>
      </c>
    </row>
    <row r="92" spans="1:23" ht="23.25" customHeight="1">
      <c r="A92" s="295" t="s">
        <v>186</v>
      </c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7"/>
      <c r="U92" s="202">
        <f>U93-SUM(U85:U91)</f>
        <v>-7180316.799999997</v>
      </c>
      <c r="V92" s="130"/>
      <c r="W92" s="118" t="str">
        <f t="shared" si="34"/>
        <v>1.11  </v>
      </c>
    </row>
    <row r="93" spans="1:23" ht="29.25" customHeight="1">
      <c r="A93" s="309" t="s">
        <v>25</v>
      </c>
      <c r="B93" s="310"/>
      <c r="C93" s="151" t="s">
        <v>96</v>
      </c>
      <c r="D93" s="152">
        <f>D86+D85</f>
        <v>228.75</v>
      </c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28">
        <f>SUM(T85:T88)</f>
        <v>2151689.9099999997</v>
      </c>
      <c r="U93" s="129">
        <v>19342800</v>
      </c>
      <c r="V93" s="130"/>
      <c r="W93" s="118" t="str">
        <f t="shared" si="34"/>
        <v>Загаль</v>
      </c>
    </row>
    <row r="94" spans="1:23" ht="26.25" customHeight="1" thickBot="1">
      <c r="A94" s="154" t="s">
        <v>26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6" t="s">
        <v>189</v>
      </c>
      <c r="U94" s="157"/>
      <c r="V94" s="112" t="s">
        <v>3</v>
      </c>
      <c r="W94" s="4">
        <v>11</v>
      </c>
    </row>
    <row r="95" spans="1:22" ht="36.75" customHeight="1" thickBot="1">
      <c r="A95" s="158" t="s">
        <v>130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60"/>
      <c r="V95" s="130"/>
    </row>
    <row r="96" spans="1:23" ht="31.5" customHeight="1">
      <c r="A96" s="269" t="s">
        <v>125</v>
      </c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1"/>
      <c r="V96" s="130"/>
      <c r="W96" s="118"/>
    </row>
    <row r="97" spans="1:23" ht="30.75" customHeight="1">
      <c r="A97" s="124">
        <v>1</v>
      </c>
      <c r="B97" s="125" t="s">
        <v>10</v>
      </c>
      <c r="C97" s="126">
        <v>18</v>
      </c>
      <c r="D97" s="127"/>
      <c r="E97" s="128">
        <v>10215.7</v>
      </c>
      <c r="F97" s="126"/>
      <c r="G97" s="126">
        <f>H97*$D97</f>
        <v>0</v>
      </c>
      <c r="H97" s="128">
        <v>0</v>
      </c>
      <c r="I97" s="126">
        <v>0</v>
      </c>
      <c r="J97" s="126">
        <f>K97*$D97</f>
        <v>0</v>
      </c>
      <c r="K97" s="128">
        <f>ROUND(E97*I97/100*D97,2)</f>
        <v>0</v>
      </c>
      <c r="L97" s="126">
        <v>35</v>
      </c>
      <c r="M97" s="128">
        <f>N97</f>
        <v>3575.5</v>
      </c>
      <c r="N97" s="128">
        <f>ROUND(E97*L97/100,2)</f>
        <v>3575.5</v>
      </c>
      <c r="O97" s="126">
        <v>0</v>
      </c>
      <c r="P97" s="126">
        <f>Q97*D97</f>
        <v>0</v>
      </c>
      <c r="Q97" s="128">
        <f>E97*O97/100</f>
        <v>0</v>
      </c>
      <c r="R97" s="128">
        <f>S97*D97</f>
        <v>0</v>
      </c>
      <c r="S97" s="128"/>
      <c r="T97" s="128">
        <f>ROUND((H97+N97+K97+Q97),2)</f>
        <v>3575.5</v>
      </c>
      <c r="U97" s="129">
        <f>ROUND(T97*$W$94,2)</f>
        <v>39330.5</v>
      </c>
      <c r="V97" s="130">
        <f aca="true" t="shared" si="35" ref="V97:V117">IF(D97&gt;0,IF((U97/D97-Q97)&gt;$W$1,0,($W$1-(U97/D97-Q97))*D97),0)</f>
        <v>0</v>
      </c>
      <c r="W97" s="118" t="str">
        <f aca="true" t="shared" si="36" ref="W97:W102">LEFT(A97,6)</f>
        <v>1</v>
      </c>
    </row>
    <row r="98" spans="1:23" ht="45.75" customHeight="1">
      <c r="A98" s="124">
        <v>2</v>
      </c>
      <c r="B98" s="125" t="s">
        <v>99</v>
      </c>
      <c r="C98" s="131">
        <v>0.95</v>
      </c>
      <c r="D98" s="127"/>
      <c r="E98" s="128">
        <f>E97*0.95</f>
        <v>9704.915</v>
      </c>
      <c r="F98" s="126"/>
      <c r="G98" s="126">
        <f>H98*$D98</f>
        <v>0</v>
      </c>
      <c r="H98" s="128">
        <v>0</v>
      </c>
      <c r="I98" s="126">
        <v>0</v>
      </c>
      <c r="J98" s="126">
        <f>K98*$D98</f>
        <v>0</v>
      </c>
      <c r="K98" s="128">
        <f>ROUND(E98*I98/100*D98,2)</f>
        <v>0</v>
      </c>
      <c r="L98" s="126">
        <v>35</v>
      </c>
      <c r="M98" s="128">
        <f>N98</f>
        <v>3396.72</v>
      </c>
      <c r="N98" s="128">
        <f>ROUND(E98*L98/100,2)</f>
        <v>3396.72</v>
      </c>
      <c r="O98" s="126">
        <v>0</v>
      </c>
      <c r="P98" s="126">
        <f>Q98*D98</f>
        <v>0</v>
      </c>
      <c r="Q98" s="128">
        <f>E98*O98/100</f>
        <v>0</v>
      </c>
      <c r="R98" s="128">
        <f>S98*D98</f>
        <v>0</v>
      </c>
      <c r="S98" s="128"/>
      <c r="T98" s="128">
        <f>ROUND((H98+N98+K98+Q98),2)</f>
        <v>3396.72</v>
      </c>
      <c r="U98" s="129">
        <f>ROUND(T98*$W$94,2)</f>
        <v>37363.92</v>
      </c>
      <c r="V98" s="130">
        <f t="shared" si="35"/>
        <v>0</v>
      </c>
      <c r="W98" s="118" t="str">
        <f t="shared" si="36"/>
        <v>2</v>
      </c>
    </row>
    <row r="99" spans="1:23" ht="59.25" customHeight="1">
      <c r="A99" s="124">
        <v>3</v>
      </c>
      <c r="B99" s="125" t="s">
        <v>98</v>
      </c>
      <c r="C99" s="131">
        <v>0.9</v>
      </c>
      <c r="D99" s="127"/>
      <c r="E99" s="128">
        <f>E97*C99</f>
        <v>9194.130000000001</v>
      </c>
      <c r="F99" s="126"/>
      <c r="G99" s="126">
        <f>H99*$D99</f>
        <v>0</v>
      </c>
      <c r="H99" s="128">
        <v>0</v>
      </c>
      <c r="I99" s="126">
        <v>0</v>
      </c>
      <c r="J99" s="126">
        <f>K99*$D99</f>
        <v>0</v>
      </c>
      <c r="K99" s="128">
        <f>ROUND(E99*I99/100*D99,2)</f>
        <v>0</v>
      </c>
      <c r="L99" s="126">
        <v>35</v>
      </c>
      <c r="M99" s="128">
        <f>N99</f>
        <v>3217.95</v>
      </c>
      <c r="N99" s="128">
        <f>ROUND(E99*L99/100,2)</f>
        <v>3217.95</v>
      </c>
      <c r="O99" s="126">
        <v>0</v>
      </c>
      <c r="P99" s="126">
        <f>Q99*D99</f>
        <v>0</v>
      </c>
      <c r="Q99" s="128">
        <f>E99*O99/100</f>
        <v>0</v>
      </c>
      <c r="R99" s="128">
        <f>S99*D99</f>
        <v>0</v>
      </c>
      <c r="S99" s="128"/>
      <c r="T99" s="128">
        <f>ROUND((H99+N99+K99+Q99),2)</f>
        <v>3217.95</v>
      </c>
      <c r="U99" s="129">
        <f>ROUND(T99*$W$94,2)</f>
        <v>35397.45</v>
      </c>
      <c r="V99" s="130">
        <f t="shared" si="35"/>
        <v>0</v>
      </c>
      <c r="W99" s="118" t="str">
        <f t="shared" si="36"/>
        <v>3</v>
      </c>
    </row>
    <row r="100" spans="1:23" ht="62.25" customHeight="1" thickBot="1">
      <c r="A100" s="124">
        <v>4</v>
      </c>
      <c r="B100" s="125" t="s">
        <v>156</v>
      </c>
      <c r="C100" s="131">
        <v>0.9</v>
      </c>
      <c r="D100" s="132">
        <v>0.25</v>
      </c>
      <c r="E100" s="132">
        <v>9194.13</v>
      </c>
      <c r="F100" s="136">
        <v>20</v>
      </c>
      <c r="G100" s="136">
        <f>H100*$D100</f>
        <v>459.70649999999995</v>
      </c>
      <c r="H100" s="128">
        <f>E100*F100/100</f>
        <v>1838.8259999999998</v>
      </c>
      <c r="I100" s="136">
        <v>20</v>
      </c>
      <c r="J100" s="136">
        <f>K100*$D100</f>
        <v>459.7075</v>
      </c>
      <c r="K100" s="132">
        <f>ROUND(E100*I100/100,2)</f>
        <v>1838.83</v>
      </c>
      <c r="L100" s="136">
        <v>35</v>
      </c>
      <c r="M100" s="132">
        <f>N100</f>
        <v>804.49</v>
      </c>
      <c r="N100" s="132">
        <f>ROUND(E100*L100*D100/100,2)</f>
        <v>804.49</v>
      </c>
      <c r="O100" s="136"/>
      <c r="P100" s="132">
        <f>Q100</f>
        <v>0</v>
      </c>
      <c r="Q100" s="132">
        <f>E100*O100*D100/100</f>
        <v>0</v>
      </c>
      <c r="R100" s="161">
        <f>S100</f>
        <v>0</v>
      </c>
      <c r="S100" s="128">
        <f>MAX($W$1-ROUND(ROUND((E100+H100+N100+K100)*D100,2)/D100,2),0)*D100</f>
        <v>0</v>
      </c>
      <c r="T100" s="132">
        <f>ROUND((E100+H100+K100)*D100+N100+Q100+S100,2)</f>
        <v>4022.44</v>
      </c>
      <c r="U100" s="138">
        <f>ROUND(T100*$W$94,2)</f>
        <v>44246.84</v>
      </c>
      <c r="V100" s="130">
        <f t="shared" si="35"/>
        <v>0</v>
      </c>
      <c r="W100" s="118" t="str">
        <f t="shared" si="36"/>
        <v>4</v>
      </c>
    </row>
    <row r="101" spans="1:23" ht="31.5" customHeight="1" thickBot="1">
      <c r="A101" s="303" t="s">
        <v>27</v>
      </c>
      <c r="B101" s="304"/>
      <c r="C101" s="139" t="s">
        <v>96</v>
      </c>
      <c r="D101" s="140">
        <f>SUM(D97:D100)</f>
        <v>0.25</v>
      </c>
      <c r="E101" s="141">
        <f>T101-H101-N101-K101-Q101</f>
        <v>2298.5360000000005</v>
      </c>
      <c r="F101" s="139" t="s">
        <v>15</v>
      </c>
      <c r="G101" s="139"/>
      <c r="H101" s="141">
        <f>SUM(G97:G100)</f>
        <v>459.70649999999995</v>
      </c>
      <c r="I101" s="139" t="s">
        <v>15</v>
      </c>
      <c r="J101" s="139"/>
      <c r="K101" s="141">
        <f>SUM(J97:J100)</f>
        <v>459.7075</v>
      </c>
      <c r="L101" s="139" t="s">
        <v>15</v>
      </c>
      <c r="M101" s="139"/>
      <c r="N101" s="141">
        <f>SUM(M97:M100)</f>
        <v>10994.659999999998</v>
      </c>
      <c r="O101" s="139"/>
      <c r="P101" s="139"/>
      <c r="Q101" s="141">
        <f>SUM(P97:P100)</f>
        <v>0</v>
      </c>
      <c r="R101" s="141"/>
      <c r="S101" s="141">
        <f>SUM(R97:R100)</f>
        <v>0</v>
      </c>
      <c r="T101" s="141">
        <f>SUM(T96:T100)</f>
        <v>14212.609999999999</v>
      </c>
      <c r="U101" s="142">
        <f>SUM(U96:U100)</f>
        <v>156338.71</v>
      </c>
      <c r="V101" s="130">
        <f t="shared" si="35"/>
        <v>0</v>
      </c>
      <c r="W101" s="118" t="str">
        <f t="shared" si="36"/>
        <v>Всього</v>
      </c>
    </row>
    <row r="102" spans="1:23" ht="27.75" customHeight="1">
      <c r="A102" s="269" t="s">
        <v>87</v>
      </c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1"/>
      <c r="V102" s="130">
        <f t="shared" si="35"/>
        <v>0</v>
      </c>
      <c r="W102" s="118" t="str">
        <f t="shared" si="36"/>
        <v>2.1.2 </v>
      </c>
    </row>
    <row r="103" spans="1:23" ht="59.25" customHeight="1">
      <c r="A103" s="124">
        <v>1</v>
      </c>
      <c r="B103" s="162" t="s">
        <v>77</v>
      </c>
      <c r="C103" s="131">
        <v>0.9</v>
      </c>
      <c r="D103" s="126"/>
      <c r="E103" s="126">
        <v>8358.3</v>
      </c>
      <c r="F103" s="126"/>
      <c r="G103" s="126">
        <f aca="true" t="shared" si="37" ref="G103:G112">H103*$D103</f>
        <v>0</v>
      </c>
      <c r="H103" s="126"/>
      <c r="I103" s="126"/>
      <c r="J103" s="126">
        <f aca="true" t="shared" si="38" ref="J103:J112">K103*$D103</f>
        <v>0</v>
      </c>
      <c r="K103" s="126"/>
      <c r="L103" s="126">
        <v>35</v>
      </c>
      <c r="M103" s="128">
        <f aca="true" t="shared" si="39" ref="M103:M109">N103</f>
        <v>2925.41</v>
      </c>
      <c r="N103" s="128">
        <f aca="true" t="shared" si="40" ref="N103:N109">ROUND(E103*L103/100,2)</f>
        <v>2925.41</v>
      </c>
      <c r="O103" s="126"/>
      <c r="P103" s="126">
        <f aca="true" t="shared" si="41" ref="P103:P112">Q103*D103</f>
        <v>0</v>
      </c>
      <c r="Q103" s="126"/>
      <c r="R103" s="128">
        <f aca="true" t="shared" si="42" ref="R103:R112">S103*D103</f>
        <v>0</v>
      </c>
      <c r="S103" s="126"/>
      <c r="T103" s="128">
        <f aca="true" t="shared" si="43" ref="T103:T109">ROUND((H103+N103+K103+Q103),2)</f>
        <v>2925.41</v>
      </c>
      <c r="U103" s="129">
        <f aca="true" t="shared" si="44" ref="U103:U112">ROUND(T103*$W$94,2)</f>
        <v>32179.51</v>
      </c>
      <c r="V103" s="130">
        <f t="shared" si="35"/>
        <v>0</v>
      </c>
      <c r="W103" s="118"/>
    </row>
    <row r="104" spans="1:23" ht="25.5" customHeight="1">
      <c r="A104" s="124">
        <v>2</v>
      </c>
      <c r="B104" s="162" t="s">
        <v>18</v>
      </c>
      <c r="C104" s="131">
        <v>0.9</v>
      </c>
      <c r="D104" s="126"/>
      <c r="E104" s="126">
        <v>8358.3</v>
      </c>
      <c r="F104" s="126"/>
      <c r="G104" s="126">
        <f t="shared" si="37"/>
        <v>0</v>
      </c>
      <c r="H104" s="126"/>
      <c r="I104" s="126"/>
      <c r="J104" s="126">
        <f t="shared" si="38"/>
        <v>0</v>
      </c>
      <c r="K104" s="126"/>
      <c r="L104" s="126">
        <v>35</v>
      </c>
      <c r="M104" s="128">
        <f t="shared" si="39"/>
        <v>2925.41</v>
      </c>
      <c r="N104" s="128">
        <f t="shared" si="40"/>
        <v>2925.41</v>
      </c>
      <c r="O104" s="126"/>
      <c r="P104" s="126">
        <f t="shared" si="41"/>
        <v>0</v>
      </c>
      <c r="Q104" s="126"/>
      <c r="R104" s="128">
        <f t="shared" si="42"/>
        <v>0</v>
      </c>
      <c r="S104" s="126"/>
      <c r="T104" s="128">
        <f t="shared" si="43"/>
        <v>2925.41</v>
      </c>
      <c r="U104" s="129">
        <f t="shared" si="44"/>
        <v>32179.51</v>
      </c>
      <c r="V104" s="130">
        <f t="shared" si="35"/>
        <v>0</v>
      </c>
      <c r="W104" s="118"/>
    </row>
    <row r="105" spans="1:23" ht="30.75" customHeight="1">
      <c r="A105" s="124">
        <v>3</v>
      </c>
      <c r="B105" s="162" t="s">
        <v>19</v>
      </c>
      <c r="C105" s="127">
        <v>10</v>
      </c>
      <c r="D105" s="126"/>
      <c r="E105" s="126">
        <v>5265</v>
      </c>
      <c r="F105" s="126"/>
      <c r="G105" s="126">
        <f t="shared" si="37"/>
        <v>0</v>
      </c>
      <c r="H105" s="126"/>
      <c r="I105" s="126"/>
      <c r="J105" s="126">
        <f t="shared" si="38"/>
        <v>0</v>
      </c>
      <c r="K105" s="126"/>
      <c r="L105" s="126">
        <v>35</v>
      </c>
      <c r="M105" s="128">
        <f t="shared" si="39"/>
        <v>1842.75</v>
      </c>
      <c r="N105" s="128">
        <f t="shared" si="40"/>
        <v>1842.75</v>
      </c>
      <c r="O105" s="126"/>
      <c r="P105" s="126">
        <f t="shared" si="41"/>
        <v>0</v>
      </c>
      <c r="Q105" s="126"/>
      <c r="R105" s="128">
        <f t="shared" si="42"/>
        <v>0</v>
      </c>
      <c r="S105" s="126"/>
      <c r="T105" s="128">
        <f t="shared" si="43"/>
        <v>1842.75</v>
      </c>
      <c r="U105" s="129">
        <f t="shared" si="44"/>
        <v>20270.25</v>
      </c>
      <c r="V105" s="130">
        <f t="shared" si="35"/>
        <v>0</v>
      </c>
      <c r="W105" s="118"/>
    </row>
    <row r="106" spans="1:23" ht="33" customHeight="1">
      <c r="A106" s="124">
        <v>4</v>
      </c>
      <c r="B106" s="162" t="s">
        <v>19</v>
      </c>
      <c r="C106" s="127">
        <v>10</v>
      </c>
      <c r="D106" s="126"/>
      <c r="E106" s="126">
        <v>5265</v>
      </c>
      <c r="F106" s="126"/>
      <c r="G106" s="126">
        <f t="shared" si="37"/>
        <v>0</v>
      </c>
      <c r="H106" s="126"/>
      <c r="I106" s="126"/>
      <c r="J106" s="126">
        <f t="shared" si="38"/>
        <v>0</v>
      </c>
      <c r="K106" s="126"/>
      <c r="L106" s="126">
        <v>35</v>
      </c>
      <c r="M106" s="128">
        <f t="shared" si="39"/>
        <v>1842.75</v>
      </c>
      <c r="N106" s="128">
        <f t="shared" si="40"/>
        <v>1842.75</v>
      </c>
      <c r="O106" s="126"/>
      <c r="P106" s="126">
        <f t="shared" si="41"/>
        <v>0</v>
      </c>
      <c r="Q106" s="126"/>
      <c r="R106" s="128">
        <f t="shared" si="42"/>
        <v>0</v>
      </c>
      <c r="S106" s="126"/>
      <c r="T106" s="128">
        <f t="shared" si="43"/>
        <v>1842.75</v>
      </c>
      <c r="U106" s="129">
        <f t="shared" si="44"/>
        <v>20270.25</v>
      </c>
      <c r="V106" s="130">
        <f t="shared" si="35"/>
        <v>0</v>
      </c>
      <c r="W106" s="118"/>
    </row>
    <row r="107" spans="1:23" ht="28.5" customHeight="1">
      <c r="A107" s="124">
        <v>5</v>
      </c>
      <c r="B107" s="162" t="s">
        <v>19</v>
      </c>
      <c r="C107" s="127">
        <v>10</v>
      </c>
      <c r="D107" s="126"/>
      <c r="E107" s="126">
        <v>5265</v>
      </c>
      <c r="F107" s="126"/>
      <c r="G107" s="126">
        <f t="shared" si="37"/>
        <v>0</v>
      </c>
      <c r="H107" s="126"/>
      <c r="I107" s="126"/>
      <c r="J107" s="126">
        <f t="shared" si="38"/>
        <v>0</v>
      </c>
      <c r="K107" s="126"/>
      <c r="L107" s="126">
        <v>35</v>
      </c>
      <c r="M107" s="128">
        <f t="shared" si="39"/>
        <v>1842.75</v>
      </c>
      <c r="N107" s="128">
        <f t="shared" si="40"/>
        <v>1842.75</v>
      </c>
      <c r="O107" s="126"/>
      <c r="P107" s="126">
        <f t="shared" si="41"/>
        <v>0</v>
      </c>
      <c r="Q107" s="126"/>
      <c r="R107" s="128">
        <f t="shared" si="42"/>
        <v>0</v>
      </c>
      <c r="S107" s="126"/>
      <c r="T107" s="128">
        <f t="shared" si="43"/>
        <v>1842.75</v>
      </c>
      <c r="U107" s="129">
        <f t="shared" si="44"/>
        <v>20270.25</v>
      </c>
      <c r="V107" s="130">
        <f t="shared" si="35"/>
        <v>0</v>
      </c>
      <c r="W107" s="118"/>
    </row>
    <row r="108" spans="1:23" ht="33" customHeight="1">
      <c r="A108" s="124">
        <v>6</v>
      </c>
      <c r="B108" s="162" t="s">
        <v>69</v>
      </c>
      <c r="C108" s="127">
        <v>9</v>
      </c>
      <c r="D108" s="126"/>
      <c r="E108" s="126">
        <v>5005</v>
      </c>
      <c r="F108" s="126"/>
      <c r="G108" s="126">
        <f t="shared" si="37"/>
        <v>0</v>
      </c>
      <c r="H108" s="126"/>
      <c r="I108" s="126"/>
      <c r="J108" s="126">
        <f t="shared" si="38"/>
        <v>0</v>
      </c>
      <c r="K108" s="126"/>
      <c r="L108" s="126">
        <v>35</v>
      </c>
      <c r="M108" s="128">
        <f t="shared" si="39"/>
        <v>1751.75</v>
      </c>
      <c r="N108" s="128">
        <f t="shared" si="40"/>
        <v>1751.75</v>
      </c>
      <c r="O108" s="126"/>
      <c r="P108" s="126">
        <f t="shared" si="41"/>
        <v>0</v>
      </c>
      <c r="Q108" s="126"/>
      <c r="R108" s="128">
        <f t="shared" si="42"/>
        <v>0</v>
      </c>
      <c r="S108" s="126"/>
      <c r="T108" s="128">
        <f t="shared" si="43"/>
        <v>1751.75</v>
      </c>
      <c r="U108" s="129">
        <f t="shared" si="44"/>
        <v>19269.25</v>
      </c>
      <c r="V108" s="130">
        <f t="shared" si="35"/>
        <v>0</v>
      </c>
      <c r="W108" s="118"/>
    </row>
    <row r="109" spans="1:23" ht="26.25" customHeight="1">
      <c r="A109" s="124">
        <v>7</v>
      </c>
      <c r="B109" s="162" t="s">
        <v>69</v>
      </c>
      <c r="C109" s="127">
        <v>9</v>
      </c>
      <c r="D109" s="126"/>
      <c r="E109" s="126">
        <v>5005</v>
      </c>
      <c r="F109" s="126"/>
      <c r="G109" s="126">
        <f t="shared" si="37"/>
        <v>0</v>
      </c>
      <c r="H109" s="126"/>
      <c r="I109" s="126"/>
      <c r="J109" s="126">
        <f t="shared" si="38"/>
        <v>0</v>
      </c>
      <c r="K109" s="126"/>
      <c r="L109" s="126">
        <v>35</v>
      </c>
      <c r="M109" s="128">
        <f t="shared" si="39"/>
        <v>1751.75</v>
      </c>
      <c r="N109" s="128">
        <f t="shared" si="40"/>
        <v>1751.75</v>
      </c>
      <c r="O109" s="126"/>
      <c r="P109" s="126">
        <f t="shared" si="41"/>
        <v>0</v>
      </c>
      <c r="Q109" s="126"/>
      <c r="R109" s="128">
        <f t="shared" si="42"/>
        <v>0</v>
      </c>
      <c r="S109" s="126"/>
      <c r="T109" s="128">
        <f t="shared" si="43"/>
        <v>1751.75</v>
      </c>
      <c r="U109" s="129">
        <f t="shared" si="44"/>
        <v>19269.25</v>
      </c>
      <c r="V109" s="130">
        <f t="shared" si="35"/>
        <v>0</v>
      </c>
      <c r="W109" s="118"/>
    </row>
    <row r="110" spans="1:23" ht="30" customHeight="1">
      <c r="A110" s="124">
        <v>8</v>
      </c>
      <c r="B110" s="162" t="s">
        <v>89</v>
      </c>
      <c r="C110" s="127">
        <v>10</v>
      </c>
      <c r="D110" s="126">
        <v>1</v>
      </c>
      <c r="E110" s="126">
        <v>0</v>
      </c>
      <c r="F110" s="126"/>
      <c r="G110" s="126">
        <f t="shared" si="37"/>
        <v>0</v>
      </c>
      <c r="H110" s="126"/>
      <c r="I110" s="126"/>
      <c r="J110" s="126">
        <f t="shared" si="38"/>
        <v>0</v>
      </c>
      <c r="K110" s="126"/>
      <c r="L110" s="126">
        <v>50</v>
      </c>
      <c r="M110" s="126">
        <f>N110*D110</f>
        <v>0</v>
      </c>
      <c r="N110" s="128">
        <f>ROUND(E110*L110/100,2)</f>
        <v>0</v>
      </c>
      <c r="O110" s="126"/>
      <c r="P110" s="126">
        <f t="shared" si="41"/>
        <v>0</v>
      </c>
      <c r="Q110" s="126"/>
      <c r="R110" s="128">
        <f t="shared" si="42"/>
        <v>0</v>
      </c>
      <c r="S110" s="128">
        <v>0</v>
      </c>
      <c r="T110" s="128">
        <f>ROUND((E110+H110+N110)*D110,2)</f>
        <v>0</v>
      </c>
      <c r="U110" s="129">
        <f t="shared" si="44"/>
        <v>0</v>
      </c>
      <c r="V110" s="130">
        <f t="shared" si="35"/>
        <v>6700</v>
      </c>
      <c r="W110" s="118"/>
    </row>
    <row r="111" spans="1:23" ht="41.25" customHeight="1">
      <c r="A111" s="124">
        <v>9</v>
      </c>
      <c r="B111" s="162" t="s">
        <v>88</v>
      </c>
      <c r="C111" s="126">
        <v>7</v>
      </c>
      <c r="D111" s="126">
        <v>0.5</v>
      </c>
      <c r="E111" s="126">
        <v>0</v>
      </c>
      <c r="F111" s="126"/>
      <c r="G111" s="126">
        <f t="shared" si="37"/>
        <v>0</v>
      </c>
      <c r="H111" s="126"/>
      <c r="I111" s="126"/>
      <c r="J111" s="126">
        <f t="shared" si="38"/>
        <v>0</v>
      </c>
      <c r="K111" s="126"/>
      <c r="L111" s="126"/>
      <c r="M111" s="126">
        <f>N111*D111</f>
        <v>0</v>
      </c>
      <c r="N111" s="126"/>
      <c r="O111" s="126"/>
      <c r="P111" s="126">
        <f t="shared" si="41"/>
        <v>0</v>
      </c>
      <c r="Q111" s="132">
        <f>E111*O111*D111/100</f>
        <v>0</v>
      </c>
      <c r="R111" s="161">
        <f>S111</f>
        <v>0</v>
      </c>
      <c r="S111" s="128">
        <v>0</v>
      </c>
      <c r="T111" s="132">
        <f>ROUND((E111+H111+K111)*D111+N111+Q111+S111,2)</f>
        <v>0</v>
      </c>
      <c r="U111" s="129">
        <f t="shared" si="44"/>
        <v>0</v>
      </c>
      <c r="V111" s="130">
        <f t="shared" si="35"/>
        <v>3350</v>
      </c>
      <c r="W111" s="118"/>
    </row>
    <row r="112" spans="1:23" ht="33" customHeight="1" thickBot="1">
      <c r="A112" s="124">
        <v>10</v>
      </c>
      <c r="B112" s="144" t="s">
        <v>141</v>
      </c>
      <c r="C112" s="126">
        <v>7</v>
      </c>
      <c r="D112" s="126">
        <v>1</v>
      </c>
      <c r="E112" s="126">
        <v>0</v>
      </c>
      <c r="F112" s="126">
        <v>30</v>
      </c>
      <c r="G112" s="126">
        <f t="shared" si="37"/>
        <v>0</v>
      </c>
      <c r="H112" s="128">
        <f>E112*F112/100</f>
        <v>0</v>
      </c>
      <c r="I112" s="126"/>
      <c r="J112" s="126">
        <f t="shared" si="38"/>
        <v>0</v>
      </c>
      <c r="K112" s="126"/>
      <c r="L112" s="126"/>
      <c r="M112" s="126">
        <f>N112*D112</f>
        <v>0</v>
      </c>
      <c r="N112" s="126"/>
      <c r="O112" s="126"/>
      <c r="P112" s="126">
        <f t="shared" si="41"/>
        <v>0</v>
      </c>
      <c r="Q112" s="126"/>
      <c r="R112" s="128">
        <f t="shared" si="42"/>
        <v>0</v>
      </c>
      <c r="S112" s="128">
        <v>0</v>
      </c>
      <c r="T112" s="128">
        <f>ROUND((E112+H112+N112+K112+Q112+S112)*D112,2)</f>
        <v>0</v>
      </c>
      <c r="U112" s="163">
        <f t="shared" si="44"/>
        <v>0</v>
      </c>
      <c r="V112" s="130">
        <f t="shared" si="35"/>
        <v>6700</v>
      </c>
      <c r="W112" s="118"/>
    </row>
    <row r="113" spans="1:23" ht="40.5" customHeight="1" thickBot="1">
      <c r="A113" s="303" t="s">
        <v>28</v>
      </c>
      <c r="B113" s="304"/>
      <c r="C113" s="139" t="s">
        <v>96</v>
      </c>
      <c r="D113" s="143">
        <f>SUM(D110:D112)</f>
        <v>2.5</v>
      </c>
      <c r="E113" s="141">
        <v>0</v>
      </c>
      <c r="F113" s="139" t="s">
        <v>15</v>
      </c>
      <c r="G113" s="139"/>
      <c r="H113" s="141">
        <f>SUM(G103:G112)</f>
        <v>0</v>
      </c>
      <c r="I113" s="139" t="s">
        <v>15</v>
      </c>
      <c r="J113" s="139"/>
      <c r="K113" s="141">
        <f>SUM(J103:J112)</f>
        <v>0</v>
      </c>
      <c r="L113" s="139" t="s">
        <v>15</v>
      </c>
      <c r="M113" s="139"/>
      <c r="N113" s="141">
        <f>SUM(M103:M112)</f>
        <v>14882.57</v>
      </c>
      <c r="O113" s="139"/>
      <c r="P113" s="139"/>
      <c r="Q113" s="141">
        <f>SUM(P103:P112)</f>
        <v>0</v>
      </c>
      <c r="R113" s="141"/>
      <c r="S113" s="141">
        <v>0</v>
      </c>
      <c r="T113" s="141">
        <f>SUM(T102:T112)</f>
        <v>14882.57</v>
      </c>
      <c r="U113" s="142">
        <f>SUM(U102:U112)</f>
        <v>163708.27</v>
      </c>
      <c r="V113" s="130">
        <f t="shared" si="35"/>
        <v>0</v>
      </c>
      <c r="W113" s="118" t="str">
        <f>LEFT(A113,6)</f>
        <v>Всього</v>
      </c>
    </row>
    <row r="114" spans="1:23" ht="32.25" customHeight="1">
      <c r="A114" s="269" t="s">
        <v>92</v>
      </c>
      <c r="B114" s="270"/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1"/>
      <c r="V114" s="130">
        <f t="shared" si="35"/>
        <v>0</v>
      </c>
      <c r="W114" s="118" t="str">
        <f>LEFT(A114,6)</f>
        <v>2.1.3.</v>
      </c>
    </row>
    <row r="115" spans="1:23" ht="36" customHeight="1">
      <c r="A115" s="150">
        <v>1</v>
      </c>
      <c r="B115" s="162" t="s">
        <v>21</v>
      </c>
      <c r="C115" s="126">
        <v>2</v>
      </c>
      <c r="D115" s="126">
        <v>2</v>
      </c>
      <c r="E115" s="126">
        <v>0</v>
      </c>
      <c r="F115" s="126"/>
      <c r="G115" s="126">
        <f>H115*$D115</f>
        <v>0</v>
      </c>
      <c r="H115" s="126"/>
      <c r="I115" s="126"/>
      <c r="J115" s="126">
        <f>K115*$D115</f>
        <v>0</v>
      </c>
      <c r="K115" s="126"/>
      <c r="L115" s="126"/>
      <c r="M115" s="126">
        <f>N115*D115</f>
        <v>0</v>
      </c>
      <c r="N115" s="126"/>
      <c r="O115" s="126">
        <v>10</v>
      </c>
      <c r="P115" s="126">
        <f>Q115*D115</f>
        <v>0</v>
      </c>
      <c r="Q115" s="128">
        <f>E115*O115/100</f>
        <v>0</v>
      </c>
      <c r="R115" s="128">
        <f>S115*D115</f>
        <v>0</v>
      </c>
      <c r="S115" s="128">
        <v>0</v>
      </c>
      <c r="T115" s="128">
        <f>ROUND((E115+H115+N115+K115+Q115+S115)*D115,2)</f>
        <v>0</v>
      </c>
      <c r="U115" s="163">
        <f>ROUND(T115*$W$94,2)</f>
        <v>0</v>
      </c>
      <c r="V115" s="130">
        <f t="shared" si="35"/>
        <v>13400</v>
      </c>
      <c r="W115" s="118"/>
    </row>
    <row r="116" spans="1:23" ht="27" customHeight="1">
      <c r="A116" s="150">
        <v>2</v>
      </c>
      <c r="B116" s="144" t="s">
        <v>23</v>
      </c>
      <c r="C116" s="126">
        <v>2</v>
      </c>
      <c r="D116" s="126">
        <v>1</v>
      </c>
      <c r="E116" s="126">
        <v>0</v>
      </c>
      <c r="F116" s="126"/>
      <c r="G116" s="126">
        <f>H116*$D116</f>
        <v>0</v>
      </c>
      <c r="H116" s="126"/>
      <c r="I116" s="126"/>
      <c r="J116" s="126">
        <f>K116*$D116</f>
        <v>0</v>
      </c>
      <c r="K116" s="126"/>
      <c r="L116" s="126"/>
      <c r="M116" s="126">
        <f>N116*D116</f>
        <v>0</v>
      </c>
      <c r="N116" s="126"/>
      <c r="O116" s="126">
        <v>13</v>
      </c>
      <c r="P116" s="126">
        <f>Q116*D116</f>
        <v>0</v>
      </c>
      <c r="Q116" s="128">
        <f>E116*O116/100</f>
        <v>0</v>
      </c>
      <c r="R116" s="128">
        <f>S116*D116</f>
        <v>0</v>
      </c>
      <c r="S116" s="128">
        <v>0</v>
      </c>
      <c r="T116" s="128">
        <f>ROUND((E116+H116+N116+K116+Q116+S116)*D116,2)</f>
        <v>0</v>
      </c>
      <c r="U116" s="163">
        <f>ROUND(T116*$W$94,2)</f>
        <v>0</v>
      </c>
      <c r="V116" s="130">
        <f t="shared" si="35"/>
        <v>6700</v>
      </c>
      <c r="W116" s="118"/>
    </row>
    <row r="117" spans="1:23" ht="37.5" customHeight="1" thickBot="1">
      <c r="A117" s="164">
        <v>3</v>
      </c>
      <c r="B117" s="4" t="s">
        <v>62</v>
      </c>
      <c r="C117" s="136">
        <v>2</v>
      </c>
      <c r="D117" s="136">
        <v>1</v>
      </c>
      <c r="E117" s="136">
        <v>0</v>
      </c>
      <c r="F117" s="136"/>
      <c r="G117" s="136">
        <f>H117*$D117</f>
        <v>0</v>
      </c>
      <c r="H117" s="136"/>
      <c r="I117" s="136"/>
      <c r="J117" s="136">
        <f>K117*$D117</f>
        <v>0</v>
      </c>
      <c r="K117" s="136"/>
      <c r="L117" s="136"/>
      <c r="M117" s="136">
        <f>N117*D117</f>
        <v>0</v>
      </c>
      <c r="N117" s="136"/>
      <c r="O117" s="136"/>
      <c r="P117" s="136">
        <f>Q117*D117</f>
        <v>0</v>
      </c>
      <c r="Q117" s="136"/>
      <c r="R117" s="128">
        <f>S117*D117</f>
        <v>0</v>
      </c>
      <c r="S117" s="128">
        <v>0</v>
      </c>
      <c r="T117" s="128">
        <f>ROUND((E117+H117+N117+K117+Q117+S117)*D117,2)</f>
        <v>0</v>
      </c>
      <c r="U117" s="165">
        <f>ROUND(T117*$W$94,2)</f>
        <v>0</v>
      </c>
      <c r="V117" s="130">
        <f t="shared" si="35"/>
        <v>6700</v>
      </c>
      <c r="W117" s="118"/>
    </row>
    <row r="118" spans="1:23" ht="30" customHeight="1" thickBot="1">
      <c r="A118" s="303" t="s">
        <v>65</v>
      </c>
      <c r="B118" s="304"/>
      <c r="C118" s="139" t="s">
        <v>96</v>
      </c>
      <c r="D118" s="143">
        <f>SUM(D115:D117)</f>
        <v>4</v>
      </c>
      <c r="E118" s="141">
        <f>T118-H118-N118-K118-Q118-S118</f>
        <v>0</v>
      </c>
      <c r="F118" s="139" t="s">
        <v>15</v>
      </c>
      <c r="G118" s="139"/>
      <c r="H118" s="141">
        <f>SUM(G115:G117)</f>
        <v>0</v>
      </c>
      <c r="I118" s="139" t="s">
        <v>15</v>
      </c>
      <c r="J118" s="139"/>
      <c r="K118" s="141">
        <f>SUM(J115:J117)</f>
        <v>0</v>
      </c>
      <c r="L118" s="139" t="s">
        <v>15</v>
      </c>
      <c r="M118" s="139"/>
      <c r="N118" s="141">
        <f>SUM(M115:M117)</f>
        <v>0</v>
      </c>
      <c r="O118" s="139"/>
      <c r="P118" s="139"/>
      <c r="Q118" s="141">
        <f>SUM(P115:P117)</f>
        <v>0</v>
      </c>
      <c r="R118" s="141"/>
      <c r="S118" s="141">
        <v>0</v>
      </c>
      <c r="T118" s="141">
        <f>SUM(T114:T117)</f>
        <v>0</v>
      </c>
      <c r="U118" s="142">
        <f>SUM(U114:U117)</f>
        <v>0</v>
      </c>
      <c r="V118" s="130"/>
      <c r="W118" s="118" t="str">
        <f>LEFT(A118,6)</f>
        <v>Всього</v>
      </c>
    </row>
    <row r="119" spans="1:23" ht="27" customHeight="1" thickBot="1">
      <c r="A119" s="303" t="s">
        <v>94</v>
      </c>
      <c r="B119" s="304"/>
      <c r="C119" s="166" t="s">
        <v>96</v>
      </c>
      <c r="D119" s="140">
        <f>SUMIF($W$97:$W$118,"Всього",D97:D118)</f>
        <v>6.75</v>
      </c>
      <c r="E119" s="140">
        <f>T119-H119-N119-K119-Q119-S119</f>
        <v>2298.536000000004</v>
      </c>
      <c r="F119" s="139" t="s">
        <v>15</v>
      </c>
      <c r="G119" s="166"/>
      <c r="H119" s="140">
        <f>SUMIF($W$97:$W$118,"Всього",H97:H118)</f>
        <v>459.70649999999995</v>
      </c>
      <c r="I119" s="139" t="s">
        <v>15</v>
      </c>
      <c r="J119" s="166"/>
      <c r="K119" s="140">
        <f>SUMIF($W$97:$W$118,"Всього",K97:K118)</f>
        <v>459.7075</v>
      </c>
      <c r="L119" s="139" t="s">
        <v>15</v>
      </c>
      <c r="M119" s="166"/>
      <c r="N119" s="143">
        <f>SUMIF($W$97:$W$118,"Всього",N97:N118)</f>
        <v>25877.229999999996</v>
      </c>
      <c r="O119" s="166"/>
      <c r="P119" s="166"/>
      <c r="Q119" s="140">
        <f>SUMIF($W$97:$W$118,"Всього",Q97:Q118)</f>
        <v>0</v>
      </c>
      <c r="R119" s="143"/>
      <c r="S119" s="143">
        <f>SUMIF($W$97:$W$118,"Всього",S97:S118)</f>
        <v>0</v>
      </c>
      <c r="T119" s="167">
        <f>SUMIF($W$97:$W$118,"Всього",T97:T118)</f>
        <v>29095.18</v>
      </c>
      <c r="U119" s="142">
        <f>SUMIF($W$97:$W$118,"Всього",U97:U118)</f>
        <v>320046.98</v>
      </c>
      <c r="V119" s="112" t="s">
        <v>3</v>
      </c>
      <c r="W119" s="4">
        <v>11</v>
      </c>
    </row>
    <row r="120" spans="1:23" ht="31.5" customHeight="1">
      <c r="A120" s="305" t="s">
        <v>112</v>
      </c>
      <c r="B120" s="306"/>
      <c r="C120" s="306"/>
      <c r="D120" s="325">
        <v>9</v>
      </c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7">
        <v>82776.74</v>
      </c>
      <c r="U120" s="149">
        <f>ROUND(T120*$W$94,2)</f>
        <v>910544.14</v>
      </c>
      <c r="V120" s="130"/>
      <c r="W120" s="118" t="str">
        <f aca="true" t="shared" si="45" ref="W120:W132">LEFT(A120,6)</f>
        <v>2.1.4 </v>
      </c>
    </row>
    <row r="121" spans="1:23" ht="28.5" customHeight="1">
      <c r="A121" s="283" t="s">
        <v>131</v>
      </c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144"/>
      <c r="S121" s="144"/>
      <c r="T121" s="128">
        <v>14627.84</v>
      </c>
      <c r="U121" s="129">
        <f>ROUND(T121*$W$94,2)</f>
        <v>160906.24</v>
      </c>
      <c r="V121" s="130"/>
      <c r="W121" s="118" t="str">
        <f t="shared" si="45"/>
        <v>2.1.5 </v>
      </c>
    </row>
    <row r="122" spans="1:23" ht="29.25" customHeight="1">
      <c r="A122" s="283" t="s">
        <v>164</v>
      </c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144"/>
      <c r="S122" s="144"/>
      <c r="T122" s="128">
        <v>3405.17</v>
      </c>
      <c r="U122" s="129">
        <f>ROUND(T122*$W$94,2)</f>
        <v>37456.87</v>
      </c>
      <c r="V122" s="130"/>
      <c r="W122" s="118" t="str">
        <f t="shared" si="45"/>
        <v>2.1.6 </v>
      </c>
    </row>
    <row r="123" spans="1:23" ht="31.5" customHeight="1">
      <c r="A123" s="283" t="s">
        <v>114</v>
      </c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03">
        <v>103509.2</v>
      </c>
      <c r="V123" s="130"/>
      <c r="W123" s="118" t="str">
        <f t="shared" si="45"/>
        <v>2.1.7 </v>
      </c>
    </row>
    <row r="124" spans="1:23" ht="26.25" customHeight="1">
      <c r="A124" s="283" t="s">
        <v>142</v>
      </c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01">
        <v>0</v>
      </c>
      <c r="V124" s="130"/>
      <c r="W124" s="118" t="str">
        <f>LEFT(A124,6)</f>
        <v>2.1.8 </v>
      </c>
    </row>
    <row r="125" spans="1:23" ht="27.75" customHeight="1">
      <c r="A125" s="283" t="s">
        <v>143</v>
      </c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01"/>
      <c r="V125" s="130"/>
      <c r="W125" s="118" t="str">
        <f t="shared" si="45"/>
        <v>2.1.9 </v>
      </c>
    </row>
    <row r="126" spans="1:23" ht="27.75" customHeight="1">
      <c r="A126" s="285" t="s">
        <v>171</v>
      </c>
      <c r="B126" s="286"/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7"/>
      <c r="U126" s="149">
        <v>0</v>
      </c>
      <c r="V126" s="130"/>
      <c r="W126" s="118" t="str">
        <f t="shared" si="45"/>
        <v>2.1.10</v>
      </c>
    </row>
    <row r="127" spans="1:23" ht="27.75" customHeight="1">
      <c r="A127" s="295" t="s">
        <v>172</v>
      </c>
      <c r="B127" s="296"/>
      <c r="C127" s="296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7"/>
      <c r="U127" s="202">
        <f>U128-SUM(U119:U126)</f>
        <v>-122863.43000000017</v>
      </c>
      <c r="V127" s="130"/>
      <c r="W127" s="118" t="str">
        <f>LEFT(A127,6)</f>
        <v>2.1.11</v>
      </c>
    </row>
    <row r="128" spans="1:23" ht="28.5" customHeight="1">
      <c r="A128" s="169" t="s">
        <v>134</v>
      </c>
      <c r="B128" s="170"/>
      <c r="C128" s="153"/>
      <c r="D128" s="152">
        <f>D120+D119</f>
        <v>15.75</v>
      </c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28">
        <f>SUM(T119:T122)</f>
        <v>129904.93000000001</v>
      </c>
      <c r="U128" s="326">
        <v>1409600</v>
      </c>
      <c r="V128" s="130"/>
      <c r="W128" s="118" t="str">
        <f t="shared" si="45"/>
        <v>Всього</v>
      </c>
    </row>
    <row r="129" spans="1:23" ht="35.25" customHeight="1">
      <c r="A129" s="298" t="s">
        <v>184</v>
      </c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300"/>
      <c r="V129" s="130"/>
      <c r="W129" s="118" t="str">
        <f t="shared" si="45"/>
        <v>      </v>
      </c>
    </row>
    <row r="130" spans="1:23" ht="44.25" customHeight="1">
      <c r="A130" s="301" t="s">
        <v>50</v>
      </c>
      <c r="B130" s="302"/>
      <c r="C130" s="126">
        <v>13</v>
      </c>
      <c r="D130" s="127">
        <v>1</v>
      </c>
      <c r="E130" s="128">
        <v>0</v>
      </c>
      <c r="F130" s="126">
        <v>20</v>
      </c>
      <c r="G130" s="126">
        <f>H130*$D130</f>
        <v>0</v>
      </c>
      <c r="H130" s="128">
        <f>E130*F130*D130/100</f>
        <v>0</v>
      </c>
      <c r="I130" s="126">
        <v>20</v>
      </c>
      <c r="J130" s="126">
        <f>K130*$D130</f>
        <v>0</v>
      </c>
      <c r="K130" s="128">
        <f>ROUND(E130*I130/100*D130,2)</f>
        <v>0</v>
      </c>
      <c r="L130" s="126"/>
      <c r="M130" s="128"/>
      <c r="N130" s="128">
        <f>ROUND(E130*L130/100,2)</f>
        <v>0</v>
      </c>
      <c r="O130" s="126"/>
      <c r="P130" s="126">
        <f>Q130*D130</f>
        <v>0</v>
      </c>
      <c r="Q130" s="128">
        <f>E130*O130/100</f>
        <v>0</v>
      </c>
      <c r="R130" s="128">
        <f>S130*D130</f>
        <v>0</v>
      </c>
      <c r="S130" s="128">
        <v>0</v>
      </c>
      <c r="T130" s="128">
        <f>ROUND((E130+H130+N130+K130+Q130)*D130,2)</f>
        <v>0</v>
      </c>
      <c r="U130" s="129">
        <v>0</v>
      </c>
      <c r="V130" s="130">
        <f>IF(D130&gt;0,IF((U130/D130-Q130)&gt;$W$1,0,($W$1-(U130/D130-Q130))*D130),0)</f>
        <v>6700</v>
      </c>
      <c r="W130" s="118" t="str">
        <f t="shared" si="45"/>
        <v>2.2.1 </v>
      </c>
    </row>
    <row r="131" spans="1:23" ht="26.25" customHeight="1">
      <c r="A131" s="172" t="s">
        <v>46</v>
      </c>
      <c r="B131" s="125"/>
      <c r="C131" s="126">
        <v>12</v>
      </c>
      <c r="D131" s="127">
        <v>4</v>
      </c>
      <c r="E131" s="128">
        <v>0</v>
      </c>
      <c r="F131" s="126"/>
      <c r="G131" s="126">
        <f>H131*$D131</f>
        <v>0</v>
      </c>
      <c r="H131" s="128">
        <v>0</v>
      </c>
      <c r="I131" s="126">
        <v>0</v>
      </c>
      <c r="J131" s="126">
        <f>K131*$D131</f>
        <v>0</v>
      </c>
      <c r="K131" s="128">
        <f>ROUND(E131*I131/100*D131,2)</f>
        <v>0</v>
      </c>
      <c r="L131" s="126"/>
      <c r="M131" s="126"/>
      <c r="N131" s="128">
        <f>ROUND(E131*L131/100,2)</f>
        <v>0</v>
      </c>
      <c r="O131" s="126"/>
      <c r="P131" s="126"/>
      <c r="Q131" s="128">
        <f>E131*O131/100</f>
        <v>0</v>
      </c>
      <c r="R131" s="128">
        <f>S131*D131</f>
        <v>0</v>
      </c>
      <c r="S131" s="128"/>
      <c r="T131" s="128">
        <f>ROUND((E131+H131+N131+K131+Q131+S131)*D131,2)</f>
        <v>0</v>
      </c>
      <c r="U131" s="129">
        <v>0</v>
      </c>
      <c r="V131" s="130">
        <f>IF(D131&gt;0,IF((U131/D131-Q131)&gt;$W$1,0,($W$1-(U131/D131-Q131))*D131),0)</f>
        <v>26800</v>
      </c>
      <c r="W131" s="118" t="str">
        <f t="shared" si="45"/>
        <v>2.2.2 </v>
      </c>
    </row>
    <row r="132" spans="1:23" ht="25.5" customHeight="1">
      <c r="A132" s="283" t="s">
        <v>30</v>
      </c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144"/>
      <c r="S132" s="144"/>
      <c r="T132" s="128">
        <v>0</v>
      </c>
      <c r="U132" s="129">
        <v>0</v>
      </c>
      <c r="V132" s="130"/>
      <c r="W132" s="118" t="str">
        <f t="shared" si="45"/>
        <v>2.2.3 </v>
      </c>
    </row>
    <row r="133" spans="1:23" ht="27.75" customHeight="1">
      <c r="A133" s="283" t="s">
        <v>48</v>
      </c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144"/>
      <c r="S133" s="144"/>
      <c r="T133" s="128">
        <v>0</v>
      </c>
      <c r="U133" s="129">
        <v>0</v>
      </c>
      <c r="V133" s="130"/>
      <c r="W133" s="118" t="str">
        <f>LEFT(A133,6)</f>
        <v>2.2.4 </v>
      </c>
    </row>
    <row r="134" spans="1:23" ht="26.25" customHeight="1">
      <c r="A134" s="283" t="s">
        <v>105</v>
      </c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01">
        <v>0</v>
      </c>
      <c r="V134" s="130"/>
      <c r="W134" s="118" t="str">
        <f>LEFT(A134,6)</f>
        <v>2.2.5 </v>
      </c>
    </row>
    <row r="135" spans="1:23" ht="24.75" customHeight="1">
      <c r="A135" s="283" t="s">
        <v>106</v>
      </c>
      <c r="B135" s="284"/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129"/>
      <c r="V135" s="130"/>
      <c r="W135" s="118" t="str">
        <f>LEFT(A135,6)</f>
        <v>2.2.6 </v>
      </c>
    </row>
    <row r="136" spans="1:23" ht="24.75" customHeight="1">
      <c r="A136" s="285" t="s">
        <v>183</v>
      </c>
      <c r="B136" s="286"/>
      <c r="C136" s="286"/>
      <c r="D136" s="286"/>
      <c r="E136" s="286"/>
      <c r="F136" s="28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7"/>
      <c r="U136" s="138">
        <f>U137-SUM(U130:U135)</f>
        <v>0</v>
      </c>
      <c r="V136" s="130"/>
      <c r="W136" s="118"/>
    </row>
    <row r="137" spans="1:23" ht="26.25" customHeight="1" thickBot="1">
      <c r="A137" s="173" t="s">
        <v>135</v>
      </c>
      <c r="B137" s="174"/>
      <c r="C137" s="175"/>
      <c r="D137" s="176">
        <f>D131+D130</f>
        <v>5</v>
      </c>
      <c r="E137" s="132"/>
      <c r="F137" s="174"/>
      <c r="G137" s="174"/>
      <c r="H137" s="177"/>
      <c r="I137" s="174"/>
      <c r="J137" s="174"/>
      <c r="K137" s="177"/>
      <c r="L137" s="174"/>
      <c r="M137" s="174"/>
      <c r="N137" s="177"/>
      <c r="O137" s="174"/>
      <c r="P137" s="174"/>
      <c r="Q137" s="177">
        <f>SUM(Q130:Q131)</f>
        <v>0</v>
      </c>
      <c r="R137" s="177"/>
      <c r="S137" s="177"/>
      <c r="T137" s="132">
        <f>SUM(T130:T133)</f>
        <v>0</v>
      </c>
      <c r="U137" s="138">
        <v>0</v>
      </c>
      <c r="V137" s="130"/>
      <c r="W137" s="118"/>
    </row>
    <row r="138" spans="1:23" ht="27" customHeight="1" thickBot="1">
      <c r="A138" s="288" t="s">
        <v>95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90"/>
      <c r="V138" s="130"/>
      <c r="W138" s="118" t="str">
        <f>LEFT(A137,6)</f>
        <v>Всього</v>
      </c>
    </row>
    <row r="139" spans="1:25" ht="27" customHeight="1">
      <c r="A139" s="291" t="s">
        <v>31</v>
      </c>
      <c r="B139" s="292"/>
      <c r="C139" s="292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3"/>
      <c r="V139" s="112" t="s">
        <v>3</v>
      </c>
      <c r="W139" s="4">
        <v>1</v>
      </c>
      <c r="X139" s="113"/>
      <c r="Y139" s="113"/>
    </row>
    <row r="140" spans="1:25" ht="26.25" customHeight="1">
      <c r="A140" s="136">
        <v>1</v>
      </c>
      <c r="B140" s="175" t="s">
        <v>64</v>
      </c>
      <c r="C140" s="136">
        <v>5</v>
      </c>
      <c r="D140" s="146">
        <v>0.5</v>
      </c>
      <c r="E140" s="137">
        <v>0</v>
      </c>
      <c r="F140" s="178"/>
      <c r="G140" s="136">
        <f>H140*$D140</f>
        <v>0</v>
      </c>
      <c r="H140" s="177"/>
      <c r="I140" s="178"/>
      <c r="J140" s="136">
        <f>K140*$D140</f>
        <v>0</v>
      </c>
      <c r="K140" s="177"/>
      <c r="L140" s="178"/>
      <c r="M140" s="136">
        <f>N140*D140</f>
        <v>0</v>
      </c>
      <c r="N140" s="177"/>
      <c r="O140" s="178"/>
      <c r="P140" s="136">
        <f>Q140*D140</f>
        <v>0</v>
      </c>
      <c r="Q140" s="132">
        <f>E140*O140*D140/100</f>
        <v>0</v>
      </c>
      <c r="R140" s="161">
        <f>S140</f>
        <v>0</v>
      </c>
      <c r="S140" s="128">
        <v>0</v>
      </c>
      <c r="T140" s="128">
        <f>ROUND((E140+H140+N140)*D140+K140+Q140+S140,2)</f>
        <v>0</v>
      </c>
      <c r="U140" s="136">
        <f>ROUND(T140*$W$94,2)</f>
        <v>0</v>
      </c>
      <c r="V140" s="113"/>
      <c r="W140" s="179"/>
      <c r="X140" s="113"/>
      <c r="Y140" s="113"/>
    </row>
    <row r="141" spans="1:25" ht="24" customHeight="1" thickBot="1">
      <c r="A141" s="124">
        <v>2</v>
      </c>
      <c r="B141" s="135" t="s">
        <v>63</v>
      </c>
      <c r="C141" s="136">
        <v>6</v>
      </c>
      <c r="D141" s="137">
        <v>2</v>
      </c>
      <c r="E141" s="137">
        <v>0</v>
      </c>
      <c r="F141" s="136"/>
      <c r="G141" s="136">
        <f>H141*$D141</f>
        <v>0</v>
      </c>
      <c r="H141" s="132"/>
      <c r="I141" s="136"/>
      <c r="J141" s="136">
        <f>K141*$D141</f>
        <v>0</v>
      </c>
      <c r="K141" s="132">
        <f>ROUND(E141*I141/100,2)</f>
        <v>0</v>
      </c>
      <c r="L141" s="136"/>
      <c r="M141" s="136">
        <f>N141*D141</f>
        <v>0</v>
      </c>
      <c r="N141" s="146"/>
      <c r="O141" s="136"/>
      <c r="P141" s="136">
        <f>Q141*D141</f>
        <v>0</v>
      </c>
      <c r="Q141" s="132">
        <f>E141*O141*D141/100</f>
        <v>0</v>
      </c>
      <c r="R141" s="161">
        <f>S141</f>
        <v>0</v>
      </c>
      <c r="S141" s="128">
        <v>0</v>
      </c>
      <c r="T141" s="128">
        <f>ROUND((E141+H141+N141)*D141+K141+Q141+S141,2)</f>
        <v>0</v>
      </c>
      <c r="U141" s="136">
        <f>ROUND(T141*$W$94,2)</f>
        <v>0</v>
      </c>
      <c r="V141" s="130">
        <f>IF(D140&gt;0,IF((U140/D140-Q140)&gt;$W$1,0,($W$1-(U140/D140-Q140))*D140),0)</f>
        <v>3350</v>
      </c>
      <c r="W141" s="179"/>
      <c r="X141" s="113"/>
      <c r="Y141" s="113"/>
    </row>
    <row r="142" spans="1:25" ht="24" customHeight="1" thickBot="1">
      <c r="A142" s="272" t="s">
        <v>32</v>
      </c>
      <c r="B142" s="294"/>
      <c r="C142" s="180" t="s">
        <v>96</v>
      </c>
      <c r="D142" s="143">
        <f>SUM(D140:D141)</f>
        <v>2.5</v>
      </c>
      <c r="E142" s="141">
        <f>T142-H142-N142-K142-Q142-S142</f>
        <v>0</v>
      </c>
      <c r="F142" s="181"/>
      <c r="G142" s="139">
        <f>H142*$D142</f>
        <v>0</v>
      </c>
      <c r="H142" s="140"/>
      <c r="I142" s="181"/>
      <c r="J142" s="139">
        <f>K142*$D142</f>
        <v>0</v>
      </c>
      <c r="K142" s="140"/>
      <c r="L142" s="181"/>
      <c r="M142" s="139">
        <f>N142*D142</f>
        <v>0</v>
      </c>
      <c r="N142" s="140"/>
      <c r="O142" s="181"/>
      <c r="P142" s="139">
        <f>Q142*D142</f>
        <v>0</v>
      </c>
      <c r="Q142" s="140"/>
      <c r="R142" s="140"/>
      <c r="S142" s="140">
        <f>SUM(S140:S141)</f>
        <v>0</v>
      </c>
      <c r="T142" s="141">
        <f>SUM(T140:T141)</f>
        <v>0</v>
      </c>
      <c r="U142" s="126">
        <f>SUM(U140:U141)</f>
        <v>0</v>
      </c>
      <c r="V142" s="130"/>
      <c r="W142" s="179"/>
      <c r="X142" s="113"/>
      <c r="Y142" s="113"/>
    </row>
    <row r="143" spans="1:23" ht="27.75" customHeight="1">
      <c r="A143" s="269" t="s">
        <v>33</v>
      </c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1"/>
      <c r="W143" s="118"/>
    </row>
    <row r="144" spans="1:23" ht="31.5" customHeight="1">
      <c r="A144" s="124">
        <v>1</v>
      </c>
      <c r="B144" s="144" t="s">
        <v>34</v>
      </c>
      <c r="C144" s="126">
        <v>3</v>
      </c>
      <c r="D144" s="127">
        <v>4</v>
      </c>
      <c r="E144" s="127">
        <v>0</v>
      </c>
      <c r="F144" s="126"/>
      <c r="G144" s="126">
        <f>H144*$D144</f>
        <v>0</v>
      </c>
      <c r="H144" s="128"/>
      <c r="I144" s="126"/>
      <c r="J144" s="126">
        <f>K144*$D144</f>
        <v>0</v>
      </c>
      <c r="K144" s="128"/>
      <c r="L144" s="126"/>
      <c r="M144" s="126">
        <f>N144*D144</f>
        <v>0</v>
      </c>
      <c r="N144" s="128"/>
      <c r="O144" s="126">
        <v>13</v>
      </c>
      <c r="P144" s="128">
        <f>Q144</f>
        <v>0</v>
      </c>
      <c r="Q144" s="132">
        <f>E144*O144*D144/100</f>
        <v>0</v>
      </c>
      <c r="R144" s="161">
        <f>S144</f>
        <v>0</v>
      </c>
      <c r="S144" s="128">
        <v>0</v>
      </c>
      <c r="T144" s="128">
        <f>ROUND((E144+H144+N144)*D144+K144+Q144+S144,2)</f>
        <v>0</v>
      </c>
      <c r="U144" s="163">
        <f>ROUND(T144*$W$94,2)</f>
        <v>0</v>
      </c>
      <c r="W144" s="118"/>
    </row>
    <row r="145" spans="1:23" ht="37.5" customHeight="1" thickBot="1">
      <c r="A145" s="124">
        <v>2</v>
      </c>
      <c r="B145" s="162" t="s">
        <v>21</v>
      </c>
      <c r="C145" s="126">
        <v>2</v>
      </c>
      <c r="D145" s="127">
        <v>2</v>
      </c>
      <c r="E145" s="127">
        <v>0</v>
      </c>
      <c r="F145" s="126"/>
      <c r="G145" s="126">
        <f>H145*$D145</f>
        <v>0</v>
      </c>
      <c r="H145" s="128"/>
      <c r="I145" s="126"/>
      <c r="J145" s="126">
        <f>K145*$D145</f>
        <v>0</v>
      </c>
      <c r="K145" s="128"/>
      <c r="L145" s="126"/>
      <c r="M145" s="126">
        <f>N145*D145</f>
        <v>0</v>
      </c>
      <c r="N145" s="128"/>
      <c r="O145" s="126">
        <v>10</v>
      </c>
      <c r="P145" s="128">
        <f>Q145</f>
        <v>0</v>
      </c>
      <c r="Q145" s="132">
        <f>E145*O145*D145/100</f>
        <v>0</v>
      </c>
      <c r="R145" s="161">
        <f>S145</f>
        <v>0</v>
      </c>
      <c r="S145" s="128">
        <v>0</v>
      </c>
      <c r="T145" s="128">
        <f>ROUND((E145+H145+N145)*D145+K145+Q145+S145,2)</f>
        <v>0</v>
      </c>
      <c r="U145" s="163">
        <f>ROUND(T145*$W$94,2)</f>
        <v>0</v>
      </c>
      <c r="V145" s="130">
        <f>IF(D144&gt;0,IF((U144/D144-Q144)&gt;$W$1,0,($W$1-(U144/D144-Q144))*D144),0)</f>
        <v>26800</v>
      </c>
      <c r="W145" s="118"/>
    </row>
    <row r="146" spans="1:23" ht="41.25" customHeight="1" thickBot="1">
      <c r="A146" s="272" t="s">
        <v>35</v>
      </c>
      <c r="B146" s="273"/>
      <c r="C146" s="166"/>
      <c r="D146" s="143">
        <f>SUM(D144:D145)</f>
        <v>6</v>
      </c>
      <c r="E146" s="141">
        <f>T146-H146-N146-K146-Q146-S146</f>
        <v>0</v>
      </c>
      <c r="F146" s="139" t="s">
        <v>15</v>
      </c>
      <c r="G146" s="139"/>
      <c r="H146" s="141">
        <f>SUM(G144:G145)</f>
        <v>0</v>
      </c>
      <c r="I146" s="139" t="s">
        <v>15</v>
      </c>
      <c r="J146" s="139"/>
      <c r="K146" s="141">
        <f>SUM(J144:J145)</f>
        <v>0</v>
      </c>
      <c r="L146" s="139" t="s">
        <v>15</v>
      </c>
      <c r="M146" s="139"/>
      <c r="N146" s="141">
        <f>SUM(M144:M145)</f>
        <v>0</v>
      </c>
      <c r="O146" s="139"/>
      <c r="P146" s="139"/>
      <c r="Q146" s="141">
        <f>SUM(P144:P145)</f>
        <v>0</v>
      </c>
      <c r="R146" s="182"/>
      <c r="S146" s="141">
        <f>SUM(R144:R145)</f>
        <v>0</v>
      </c>
      <c r="T146" s="141">
        <f>SUM(T144:T145)</f>
        <v>0</v>
      </c>
      <c r="U146" s="142">
        <f>SUM(U143:U145)</f>
        <v>0</v>
      </c>
      <c r="V146" s="130">
        <f>IF(D145&gt;0,IF((U145/D145-Q145)&gt;$W$1,0,($W$1-(U145/D145-Q145))*D145),0)</f>
        <v>13400</v>
      </c>
      <c r="W146" s="118"/>
    </row>
    <row r="147" spans="1:23" ht="31.5" customHeight="1" thickBot="1">
      <c r="A147" s="272" t="s">
        <v>97</v>
      </c>
      <c r="B147" s="274"/>
      <c r="C147" s="139" t="s">
        <v>96</v>
      </c>
      <c r="D147" s="143">
        <f>D146+D142</f>
        <v>8.5</v>
      </c>
      <c r="E147" s="141">
        <f>E146+E142</f>
        <v>0</v>
      </c>
      <c r="F147" s="166"/>
      <c r="G147" s="166"/>
      <c r="H147" s="141">
        <f>H146+H142</f>
        <v>0</v>
      </c>
      <c r="I147" s="166"/>
      <c r="J147" s="166"/>
      <c r="K147" s="141">
        <f>K146+K142</f>
        <v>0</v>
      </c>
      <c r="L147" s="166"/>
      <c r="M147" s="166"/>
      <c r="N147" s="141">
        <f>N146+N142</f>
        <v>0</v>
      </c>
      <c r="O147" s="166"/>
      <c r="P147" s="166"/>
      <c r="Q147" s="141">
        <f>Q146+Q142</f>
        <v>0</v>
      </c>
      <c r="R147" s="141"/>
      <c r="S147" s="141">
        <f>S146+S142</f>
        <v>0</v>
      </c>
      <c r="T147" s="141">
        <f>T146+T142</f>
        <v>0</v>
      </c>
      <c r="U147" s="142">
        <f>U146+U142</f>
        <v>0</v>
      </c>
      <c r="V147" s="130"/>
      <c r="W147" s="118"/>
    </row>
    <row r="148" spans="1:23" ht="27.75" customHeight="1" thickBot="1">
      <c r="A148" s="275" t="s">
        <v>133</v>
      </c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276"/>
      <c r="T148" s="277"/>
      <c r="U148" s="183"/>
      <c r="V148" s="130"/>
      <c r="W148" s="118"/>
    </row>
    <row r="149" spans="1:23" ht="25.5" customHeight="1" thickBot="1">
      <c r="A149" s="278" t="s">
        <v>36</v>
      </c>
      <c r="B149" s="279"/>
      <c r="C149" s="184"/>
      <c r="D149" s="143">
        <f>D147</f>
        <v>8.5</v>
      </c>
      <c r="E149" s="185">
        <f>E147</f>
        <v>0</v>
      </c>
      <c r="F149" s="184"/>
      <c r="G149" s="184"/>
      <c r="H149" s="185">
        <f>H147</f>
        <v>0</v>
      </c>
      <c r="I149" s="184"/>
      <c r="J149" s="184"/>
      <c r="K149" s="185">
        <f>K147</f>
        <v>0</v>
      </c>
      <c r="L149" s="184"/>
      <c r="M149" s="184"/>
      <c r="N149" s="185">
        <f>N147</f>
        <v>0</v>
      </c>
      <c r="O149" s="184"/>
      <c r="P149" s="184"/>
      <c r="Q149" s="185">
        <f>Q147</f>
        <v>0</v>
      </c>
      <c r="R149" s="185"/>
      <c r="S149" s="185">
        <f>S147</f>
        <v>0</v>
      </c>
      <c r="T149" s="185">
        <f>T147</f>
        <v>0</v>
      </c>
      <c r="U149" s="186"/>
      <c r="V149" s="130"/>
      <c r="W149" s="118"/>
    </row>
    <row r="150" spans="1:23" ht="24" customHeight="1" thickBot="1">
      <c r="A150" s="187" t="s">
        <v>37</v>
      </c>
      <c r="B150" s="181"/>
      <c r="C150" s="188"/>
      <c r="D150" s="140">
        <f>D128+D137+D149</f>
        <v>29.25</v>
      </c>
      <c r="E150" s="141"/>
      <c r="F150" s="188"/>
      <c r="G150" s="188"/>
      <c r="H150" s="141">
        <f>H128+H137+H149</f>
        <v>0</v>
      </c>
      <c r="I150" s="188"/>
      <c r="J150" s="188"/>
      <c r="K150" s="141">
        <f>K128+K137+K149</f>
        <v>0</v>
      </c>
      <c r="L150" s="188"/>
      <c r="M150" s="188"/>
      <c r="N150" s="141">
        <f>N128+N137+N149</f>
        <v>0</v>
      </c>
      <c r="O150" s="188"/>
      <c r="P150" s="188"/>
      <c r="Q150" s="141"/>
      <c r="R150" s="141"/>
      <c r="S150" s="141"/>
      <c r="T150" s="204">
        <f>T128+T137+T149</f>
        <v>129904.93000000001</v>
      </c>
      <c r="U150" s="205"/>
      <c r="V150" s="130">
        <f>IF(D149&gt;0,IF((U149/D149-Q149)&gt;$W$1,0,($W$1-(U149/D149-Q149))*D149),0)</f>
        <v>56950</v>
      </c>
      <c r="W150" s="118"/>
    </row>
    <row r="151" spans="1:23" ht="27" customHeight="1" thickBot="1">
      <c r="A151" s="280" t="s">
        <v>38</v>
      </c>
      <c r="B151" s="281"/>
      <c r="C151" s="282"/>
      <c r="D151" s="189">
        <f>D93+D150</f>
        <v>258</v>
      </c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206">
        <f>T93+T150</f>
        <v>2281594.84</v>
      </c>
      <c r="U151" s="207">
        <f>SUM(U93+U150)</f>
        <v>19342800</v>
      </c>
      <c r="V151" s="130"/>
      <c r="W151" s="118"/>
    </row>
    <row r="152" spans="1:23" ht="30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30"/>
      <c r="W152" s="118"/>
    </row>
    <row r="153" spans="1:23" ht="16.5" customHeight="1">
      <c r="A153" s="1"/>
      <c r="B153" s="192" t="s">
        <v>165</v>
      </c>
      <c r="C153" s="5"/>
      <c r="D153" s="113"/>
      <c r="E153" s="5"/>
      <c r="F153" s="1"/>
      <c r="G153" s="1"/>
      <c r="H153" s="6"/>
      <c r="I153" s="6"/>
      <c r="J153" s="1"/>
      <c r="K153" s="6"/>
      <c r="L153" s="6" t="s">
        <v>166</v>
      </c>
      <c r="M153" s="6"/>
      <c r="N153" s="193"/>
      <c r="S153" s="113"/>
      <c r="T153" s="1"/>
      <c r="U153" s="1"/>
      <c r="V153" s="130"/>
      <c r="W153" s="118"/>
    </row>
    <row r="154" spans="1:23" ht="23.25" customHeight="1">
      <c r="A154" s="1"/>
      <c r="B154" s="113"/>
      <c r="C154" s="5"/>
      <c r="D154" s="5"/>
      <c r="E154" s="5"/>
      <c r="F154" s="1"/>
      <c r="G154" s="194"/>
      <c r="H154" s="195"/>
      <c r="I154" s="115" t="s">
        <v>167</v>
      </c>
      <c r="J154" s="195"/>
      <c r="K154" s="196"/>
      <c r="L154" s="195"/>
      <c r="M154" s="195"/>
      <c r="T154" s="1"/>
      <c r="U154" s="1"/>
      <c r="V154" s="130"/>
      <c r="W154" s="118"/>
    </row>
    <row r="155" spans="1:23" ht="21.75" customHeight="1">
      <c r="A155" s="1"/>
      <c r="B155" s="115" t="s">
        <v>102</v>
      </c>
      <c r="C155" s="5"/>
      <c r="D155" s="113"/>
      <c r="E155" s="5"/>
      <c r="F155" s="1"/>
      <c r="H155" s="193"/>
      <c r="I155" s="193"/>
      <c r="J155" s="193"/>
      <c r="K155" s="193"/>
      <c r="L155" s="6" t="s">
        <v>168</v>
      </c>
      <c r="M155" s="193"/>
      <c r="N155" s="193"/>
      <c r="S155" s="113"/>
      <c r="T155" s="1"/>
      <c r="U155" s="1"/>
      <c r="V155" s="130"/>
      <c r="W155" s="118"/>
    </row>
    <row r="156" spans="1:23" ht="21" customHeight="1">
      <c r="A156" s="1"/>
      <c r="C156" s="1"/>
      <c r="D156" s="1"/>
      <c r="E156" s="1"/>
      <c r="F156" s="1"/>
      <c r="G156" s="1"/>
      <c r="H156" s="195"/>
      <c r="I156" s="115" t="s">
        <v>45</v>
      </c>
      <c r="J156" s="195"/>
      <c r="K156" s="196"/>
      <c r="L156" s="195"/>
      <c r="M156" s="195"/>
      <c r="T156" s="1"/>
      <c r="U156" s="1"/>
      <c r="W156" s="118"/>
    </row>
    <row r="157" spans="1:23" ht="19.5" customHeight="1">
      <c r="A157" s="1"/>
      <c r="B157" s="116" t="s">
        <v>2</v>
      </c>
      <c r="C157" s="1"/>
      <c r="D157" s="1"/>
      <c r="E157" s="1"/>
      <c r="F157" s="1"/>
      <c r="G157" s="197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7"/>
      <c r="U157" s="1"/>
      <c r="W157" s="118"/>
    </row>
    <row r="158" spans="1:23" ht="21" customHeight="1">
      <c r="A158" s="1"/>
      <c r="C158" s="1"/>
      <c r="D158" s="1"/>
      <c r="E158" s="1"/>
      <c r="F158" s="1"/>
      <c r="G158" s="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1"/>
      <c r="U158" s="1"/>
      <c r="V158" s="130"/>
      <c r="W158" s="118"/>
    </row>
    <row r="159" spans="1:23" ht="16.5" customHeight="1">
      <c r="A159" s="1"/>
      <c r="B159" s="198" t="s">
        <v>42</v>
      </c>
      <c r="C159" s="1"/>
      <c r="D159" s="1"/>
      <c r="E159" s="1"/>
      <c r="F159" s="1"/>
      <c r="G159" s="1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195"/>
      <c r="S159" s="195"/>
      <c r="T159" s="197"/>
      <c r="U159" s="1"/>
      <c r="W159" s="118"/>
    </row>
    <row r="160" spans="22:23" ht="19.5" customHeight="1">
      <c r="V160" s="130"/>
      <c r="W160" s="118"/>
    </row>
    <row r="161" spans="2:23" ht="18.75" customHeight="1">
      <c r="B161" s="196" t="s">
        <v>43</v>
      </c>
      <c r="C161" s="199"/>
      <c r="H161" s="193"/>
      <c r="I161" s="193"/>
      <c r="J161" s="193"/>
      <c r="K161" s="193" t="s">
        <v>169</v>
      </c>
      <c r="L161" s="6" t="s">
        <v>170</v>
      </c>
      <c r="M161" s="6"/>
      <c r="N161" s="6"/>
      <c r="S161" s="113"/>
      <c r="V161" s="130"/>
      <c r="W161" s="118"/>
    </row>
    <row r="162" spans="2:23" ht="30" customHeight="1">
      <c r="B162" s="196" t="s">
        <v>44</v>
      </c>
      <c r="C162" s="116"/>
      <c r="H162" s="195"/>
      <c r="I162" s="115" t="s">
        <v>45</v>
      </c>
      <c r="J162" s="195"/>
      <c r="M162" s="195"/>
      <c r="V162" s="130"/>
      <c r="W162" s="118"/>
    </row>
    <row r="163" spans="22:23" ht="22.5" customHeight="1">
      <c r="V163" s="130"/>
      <c r="W163" s="118"/>
    </row>
    <row r="164" spans="22:23" ht="30" customHeight="1">
      <c r="V164" s="130"/>
      <c r="W164" s="118"/>
    </row>
    <row r="165" spans="22:23" ht="46.5" customHeight="1">
      <c r="V165" s="130"/>
      <c r="W165" s="118"/>
    </row>
    <row r="166" spans="22:23" ht="30" customHeight="1">
      <c r="V166" s="130"/>
      <c r="W166" s="118"/>
    </row>
    <row r="167" spans="22:23" ht="30" customHeight="1">
      <c r="V167" s="130"/>
      <c r="W167" s="118"/>
    </row>
    <row r="168" spans="22:23" ht="63" customHeight="1">
      <c r="V168" s="130"/>
      <c r="W168" s="118"/>
    </row>
    <row r="169" spans="22:23" ht="29.25" customHeight="1">
      <c r="V169" s="130"/>
      <c r="W169" s="118"/>
    </row>
    <row r="170" ht="33" customHeight="1">
      <c r="V170" s="130"/>
    </row>
    <row r="171" ht="21" customHeight="1"/>
    <row r="172" ht="28.5" customHeight="1">
      <c r="V172" s="200"/>
    </row>
    <row r="173" ht="23.25" customHeight="1">
      <c r="V173" s="200"/>
    </row>
    <row r="174" ht="24" customHeight="1"/>
    <row r="175" ht="23.25" customHeight="1"/>
    <row r="176" ht="23.25" customHeight="1"/>
    <row r="177" ht="26.25" customHeight="1"/>
    <row r="178" ht="32.25" customHeight="1"/>
    <row r="179" ht="23.25" customHeight="1"/>
    <row r="180" ht="45" customHeight="1">
      <c r="V180" s="130"/>
    </row>
    <row r="181" ht="30" customHeight="1">
      <c r="V181" s="130"/>
    </row>
    <row r="182" ht="30" customHeight="1">
      <c r="V182" s="200"/>
    </row>
    <row r="183" ht="30" customHeight="1">
      <c r="V183" s="200"/>
    </row>
    <row r="184" ht="30" customHeight="1"/>
    <row r="185" ht="30" customHeight="1"/>
    <row r="186" ht="30" customHeight="1"/>
    <row r="187" ht="30" customHeight="1"/>
    <row r="188" ht="38.25" customHeight="1"/>
    <row r="189" ht="27" customHeight="1"/>
    <row r="190" ht="21.75" customHeight="1"/>
    <row r="191" ht="30" customHeight="1"/>
    <row r="192" ht="30" customHeight="1"/>
    <row r="193" ht="33.75" customHeight="1"/>
    <row r="194" ht="25.5" customHeight="1"/>
    <row r="195" ht="30" customHeight="1">
      <c r="V195" s="130"/>
    </row>
    <row r="196" ht="45" customHeight="1"/>
    <row r="197" ht="30" customHeight="1"/>
    <row r="198" ht="30" customHeight="1"/>
    <row r="199" ht="30" customHeight="1"/>
    <row r="200" ht="34.5" customHeight="1"/>
    <row r="201" ht="30" customHeight="1">
      <c r="V201" s="130"/>
    </row>
    <row r="202" ht="30" customHeight="1">
      <c r="V202" s="130"/>
    </row>
    <row r="209" ht="12" customHeight="1"/>
    <row r="211" ht="13.5" customHeight="1"/>
    <row r="215" ht="15.75" customHeight="1"/>
  </sheetData>
  <sheetProtection/>
  <mergeCells count="62">
    <mergeCell ref="A151:C151"/>
    <mergeCell ref="H159:Q159"/>
    <mergeCell ref="A142:B142"/>
    <mergeCell ref="A143:U143"/>
    <mergeCell ref="A146:B146"/>
    <mergeCell ref="A147:B147"/>
    <mergeCell ref="A148:T148"/>
    <mergeCell ref="A149:B149"/>
    <mergeCell ref="A133:Q133"/>
    <mergeCell ref="A134:T134"/>
    <mergeCell ref="A135:T135"/>
    <mergeCell ref="A136:T136"/>
    <mergeCell ref="A138:U138"/>
    <mergeCell ref="A139:U139"/>
    <mergeCell ref="A125:T125"/>
    <mergeCell ref="A126:T126"/>
    <mergeCell ref="A127:T127"/>
    <mergeCell ref="A129:U129"/>
    <mergeCell ref="A130:B130"/>
    <mergeCell ref="A132:Q132"/>
    <mergeCell ref="A119:B119"/>
    <mergeCell ref="A120:C120"/>
    <mergeCell ref="A121:Q121"/>
    <mergeCell ref="A122:Q122"/>
    <mergeCell ref="A123:T123"/>
    <mergeCell ref="A124:T124"/>
    <mergeCell ref="A96:U96"/>
    <mergeCell ref="A101:B101"/>
    <mergeCell ref="A102:U102"/>
    <mergeCell ref="A113:B113"/>
    <mergeCell ref="A114:U114"/>
    <mergeCell ref="A118:B118"/>
    <mergeCell ref="A88:Q88"/>
    <mergeCell ref="A89:T89"/>
    <mergeCell ref="A90:T90"/>
    <mergeCell ref="A91:T91"/>
    <mergeCell ref="A92:T92"/>
    <mergeCell ref="A93:B93"/>
    <mergeCell ref="A75:B75"/>
    <mergeCell ref="A76:U76"/>
    <mergeCell ref="A84:B84"/>
    <mergeCell ref="A85:B85"/>
    <mergeCell ref="A86:C86"/>
    <mergeCell ref="A87:Q87"/>
    <mergeCell ref="A13:U13"/>
    <mergeCell ref="A14:U14"/>
    <mergeCell ref="A41:B41"/>
    <mergeCell ref="A42:U42"/>
    <mergeCell ref="A45:B45"/>
    <mergeCell ref="A46:U46"/>
    <mergeCell ref="I9:K10"/>
    <mergeCell ref="L9:N10"/>
    <mergeCell ref="O9:Q10"/>
    <mergeCell ref="S9:S10"/>
    <mergeCell ref="T9:T10"/>
    <mergeCell ref="U9:U10"/>
    <mergeCell ref="A9:A10"/>
    <mergeCell ref="B9:B10"/>
    <mergeCell ref="C9:C10"/>
    <mergeCell ref="D9:D10"/>
    <mergeCell ref="E9:E10"/>
    <mergeCell ref="F9:H10"/>
  </mergeCells>
  <printOptions/>
  <pageMargins left="0.3937007874015748" right="0.1968503937007874" top="0.6299212598425197" bottom="0.2362204724409449" header="0.6299212598425197" footer="0"/>
  <pageSetup fitToHeight="7" fitToWidth="1" horizontalDpi="600" verticalDpi="600" orientation="landscape" paperSize="9" scale="63" r:id="rId1"/>
  <rowBreaks count="6" manualBreakCount="6">
    <brk id="23" min="1" max="20" man="1"/>
    <brk id="45" min="1" max="20" man="1"/>
    <brk id="64" min="1" max="20" man="1"/>
    <brk id="93" min="1" max="20" man="1"/>
    <brk id="113" min="1" max="20" man="1"/>
    <brk id="13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2023-01-10T10:16:28Z</cp:lastPrinted>
  <dcterms:created xsi:type="dcterms:W3CDTF">2013-02-28T19:39:33Z</dcterms:created>
  <dcterms:modified xsi:type="dcterms:W3CDTF">2023-01-11T13:25:43Z</dcterms:modified>
  <cp:category/>
  <cp:version/>
  <cp:contentType/>
  <cp:contentStatus/>
</cp:coreProperties>
</file>